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proinnova_code\doc-center\application\budget\ai_course\static\"/>
    </mc:Choice>
  </mc:AlternateContent>
  <xr:revisionPtr revIDLastSave="0" documentId="8_{29BE4F92-B0E9-4F84-88AE-A71B50DEC3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0_演示导航" sheetId="1" r:id="rId1"/>
    <sheet name="01_主数据假设" sheetId="2" r:id="rId2"/>
    <sheet name="02_目标分解" sheetId="3" r:id="rId3"/>
    <sheet name="03_销售预算" sheetId="4" r:id="rId4"/>
    <sheet name="销售回款" sheetId="14" r:id="rId5"/>
    <sheet name="04_BOM生产" sheetId="5" r:id="rId6"/>
    <sheet name="05_采购预算" sheetId="6" r:id="rId7"/>
    <sheet name="06_费用预算" sheetId="7" r:id="rId8"/>
    <sheet name="07_损益预算" sheetId="8" r:id="rId9"/>
    <sheet name="人力预算" sheetId="15" r:id="rId10"/>
    <sheet name="资本性" sheetId="16" r:id="rId11"/>
    <sheet name="08_滚动预测" sheetId="9" r:id="rId12"/>
    <sheet name="09_经营看板" sheetId="10" r:id="rId13"/>
    <sheet name="10_流程控制" sheetId="11" r:id="rId14"/>
    <sheet name="11_能力映射" sheetId="13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7" i="10" l="1"/>
  <c r="M47" i="10"/>
  <c r="N46" i="10"/>
  <c r="M46" i="10"/>
  <c r="N45" i="10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E39" i="10"/>
  <c r="D39" i="10"/>
  <c r="C39" i="10"/>
  <c r="B39" i="10"/>
  <c r="N38" i="10"/>
  <c r="M38" i="10"/>
  <c r="J38" i="10"/>
  <c r="I38" i="10"/>
  <c r="H38" i="10"/>
  <c r="E38" i="10"/>
  <c r="D38" i="10"/>
  <c r="C38" i="10"/>
  <c r="B38" i="10"/>
  <c r="N37" i="10"/>
  <c r="M37" i="10"/>
  <c r="J37" i="10"/>
  <c r="I37" i="10"/>
  <c r="H37" i="10"/>
  <c r="E37" i="10"/>
  <c r="D37" i="10"/>
  <c r="C37" i="10"/>
  <c r="B37" i="10"/>
  <c r="N36" i="10"/>
  <c r="M36" i="10"/>
  <c r="J36" i="10"/>
  <c r="I36" i="10"/>
  <c r="H36" i="10"/>
  <c r="E36" i="10"/>
  <c r="D36" i="10"/>
  <c r="C36" i="10"/>
  <c r="B36" i="10"/>
  <c r="K10" i="10"/>
  <c r="F10" i="10"/>
  <c r="A10" i="10"/>
  <c r="K5" i="10"/>
  <c r="F5" i="10"/>
  <c r="A5" i="10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P6" i="9"/>
  <c r="O6" i="9"/>
  <c r="N6" i="9"/>
  <c r="M6" i="9"/>
  <c r="L6" i="9"/>
  <c r="K6" i="9"/>
  <c r="J6" i="9"/>
  <c r="I6" i="9"/>
  <c r="H6" i="9"/>
  <c r="G6" i="9"/>
  <c r="F6" i="9"/>
  <c r="E6" i="9"/>
  <c r="D6" i="9"/>
  <c r="C6" i="9"/>
  <c r="B6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D21" i="8"/>
  <c r="B21" i="8"/>
  <c r="D20" i="8"/>
  <c r="B20" i="8"/>
  <c r="D19" i="8"/>
  <c r="B19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N9" i="8"/>
  <c r="M9" i="8"/>
  <c r="L9" i="8"/>
  <c r="K9" i="8"/>
  <c r="J9" i="8"/>
  <c r="I9" i="8"/>
  <c r="H9" i="8"/>
  <c r="G9" i="8"/>
  <c r="F9" i="8"/>
  <c r="E9" i="8"/>
  <c r="D9" i="8"/>
  <c r="C9" i="8"/>
  <c r="B9" i="8"/>
  <c r="N8" i="8"/>
  <c r="M8" i="8"/>
  <c r="L8" i="8"/>
  <c r="K8" i="8"/>
  <c r="J8" i="8"/>
  <c r="I8" i="8"/>
  <c r="H8" i="8"/>
  <c r="G8" i="8"/>
  <c r="F8" i="8"/>
  <c r="E8" i="8"/>
  <c r="D8" i="8"/>
  <c r="C8" i="8"/>
  <c r="B8" i="8"/>
  <c r="N7" i="8"/>
  <c r="M7" i="8"/>
  <c r="L7" i="8"/>
  <c r="K7" i="8"/>
  <c r="J7" i="8"/>
  <c r="I7" i="8"/>
  <c r="H7" i="8"/>
  <c r="G7" i="8"/>
  <c r="F7" i="8"/>
  <c r="E7" i="8"/>
  <c r="D7" i="8"/>
  <c r="C7" i="8"/>
  <c r="B7" i="8"/>
  <c r="N6" i="8"/>
  <c r="M6" i="8"/>
  <c r="L6" i="8"/>
  <c r="K6" i="8"/>
  <c r="J6" i="8"/>
  <c r="I6" i="8"/>
  <c r="H6" i="8"/>
  <c r="G6" i="8"/>
  <c r="F6" i="8"/>
  <c r="E6" i="8"/>
  <c r="D6" i="8"/>
  <c r="C6" i="8"/>
  <c r="B6" i="8"/>
  <c r="N5" i="8"/>
  <c r="M5" i="8"/>
  <c r="L5" i="8"/>
  <c r="K5" i="8"/>
  <c r="J5" i="8"/>
  <c r="I5" i="8"/>
  <c r="H5" i="8"/>
  <c r="G5" i="8"/>
  <c r="F5" i="8"/>
  <c r="E5" i="8"/>
  <c r="D5" i="8"/>
  <c r="C5" i="8"/>
  <c r="B5" i="8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Q9" i="7"/>
  <c r="P9" i="7"/>
  <c r="O9" i="7"/>
  <c r="N9" i="7"/>
  <c r="M9" i="7"/>
  <c r="L9" i="7"/>
  <c r="K9" i="7"/>
  <c r="J9" i="7"/>
  <c r="I9" i="7"/>
  <c r="H9" i="7"/>
  <c r="G9" i="7"/>
  <c r="F9" i="7"/>
  <c r="E9" i="7"/>
  <c r="Q8" i="7"/>
  <c r="P8" i="7"/>
  <c r="O8" i="7"/>
  <c r="N8" i="7"/>
  <c r="M8" i="7"/>
  <c r="L8" i="7"/>
  <c r="K8" i="7"/>
  <c r="J8" i="7"/>
  <c r="I8" i="7"/>
  <c r="H8" i="7"/>
  <c r="G8" i="7"/>
  <c r="F8" i="7"/>
  <c r="E8" i="7"/>
  <c r="Q7" i="7"/>
  <c r="P7" i="7"/>
  <c r="O7" i="7"/>
  <c r="N7" i="7"/>
  <c r="M7" i="7"/>
  <c r="L7" i="7"/>
  <c r="K7" i="7"/>
  <c r="J7" i="7"/>
  <c r="I7" i="7"/>
  <c r="H7" i="7"/>
  <c r="G7" i="7"/>
  <c r="F7" i="7"/>
  <c r="E7" i="7"/>
  <c r="Q6" i="7"/>
  <c r="P6" i="7"/>
  <c r="O6" i="7"/>
  <c r="N6" i="7"/>
  <c r="M6" i="7"/>
  <c r="L6" i="7"/>
  <c r="K6" i="7"/>
  <c r="J6" i="7"/>
  <c r="I6" i="7"/>
  <c r="H6" i="7"/>
  <c r="G6" i="7"/>
  <c r="F6" i="7"/>
  <c r="E6" i="7"/>
  <c r="Q5" i="7"/>
  <c r="P5" i="7"/>
  <c r="O5" i="7"/>
  <c r="N5" i="7"/>
  <c r="M5" i="7"/>
  <c r="L5" i="7"/>
  <c r="K5" i="7"/>
  <c r="J5" i="7"/>
  <c r="I5" i="7"/>
  <c r="H5" i="7"/>
  <c r="G5" i="7"/>
  <c r="F5" i="7"/>
  <c r="E5" i="7"/>
  <c r="H100" i="6"/>
  <c r="G100" i="6"/>
  <c r="E100" i="6"/>
  <c r="H99" i="6"/>
  <c r="G99" i="6"/>
  <c r="E99" i="6"/>
  <c r="H98" i="6"/>
  <c r="G98" i="6"/>
  <c r="E98" i="6"/>
  <c r="H97" i="6"/>
  <c r="G97" i="6"/>
  <c r="E97" i="6"/>
  <c r="H96" i="6"/>
  <c r="G96" i="6"/>
  <c r="E96" i="6"/>
  <c r="H95" i="6"/>
  <c r="G95" i="6"/>
  <c r="E95" i="6"/>
  <c r="H94" i="6"/>
  <c r="G94" i="6"/>
  <c r="E94" i="6"/>
  <c r="H93" i="6"/>
  <c r="G93" i="6"/>
  <c r="E93" i="6"/>
  <c r="H92" i="6"/>
  <c r="G92" i="6"/>
  <c r="E92" i="6"/>
  <c r="H91" i="6"/>
  <c r="G91" i="6"/>
  <c r="E91" i="6"/>
  <c r="H90" i="6"/>
  <c r="G90" i="6"/>
  <c r="E90" i="6"/>
  <c r="H89" i="6"/>
  <c r="G89" i="6"/>
  <c r="E89" i="6"/>
  <c r="H88" i="6"/>
  <c r="G88" i="6"/>
  <c r="E88" i="6"/>
  <c r="H87" i="6"/>
  <c r="G87" i="6"/>
  <c r="E87" i="6"/>
  <c r="H86" i="6"/>
  <c r="G86" i="6"/>
  <c r="E86" i="6"/>
  <c r="H85" i="6"/>
  <c r="G85" i="6"/>
  <c r="E85" i="6"/>
  <c r="H84" i="6"/>
  <c r="G84" i="6"/>
  <c r="E84" i="6"/>
  <c r="H83" i="6"/>
  <c r="G83" i="6"/>
  <c r="E83" i="6"/>
  <c r="H82" i="6"/>
  <c r="G82" i="6"/>
  <c r="E82" i="6"/>
  <c r="H81" i="6"/>
  <c r="G81" i="6"/>
  <c r="E81" i="6"/>
  <c r="H80" i="6"/>
  <c r="G80" i="6"/>
  <c r="E80" i="6"/>
  <c r="H79" i="6"/>
  <c r="G79" i="6"/>
  <c r="E79" i="6"/>
  <c r="H78" i="6"/>
  <c r="G78" i="6"/>
  <c r="E78" i="6"/>
  <c r="H77" i="6"/>
  <c r="G77" i="6"/>
  <c r="E77" i="6"/>
  <c r="H76" i="6"/>
  <c r="G76" i="6"/>
  <c r="E76" i="6"/>
  <c r="H75" i="6"/>
  <c r="G75" i="6"/>
  <c r="E75" i="6"/>
  <c r="H74" i="6"/>
  <c r="G74" i="6"/>
  <c r="E74" i="6"/>
  <c r="H73" i="6"/>
  <c r="G73" i="6"/>
  <c r="E73" i="6"/>
  <c r="H72" i="6"/>
  <c r="G72" i="6"/>
  <c r="E72" i="6"/>
  <c r="H71" i="6"/>
  <c r="G71" i="6"/>
  <c r="E71" i="6"/>
  <c r="H70" i="6"/>
  <c r="G70" i="6"/>
  <c r="E70" i="6"/>
  <c r="H69" i="6"/>
  <c r="G69" i="6"/>
  <c r="E69" i="6"/>
  <c r="H68" i="6"/>
  <c r="G68" i="6"/>
  <c r="E68" i="6"/>
  <c r="H67" i="6"/>
  <c r="G67" i="6"/>
  <c r="E67" i="6"/>
  <c r="H66" i="6"/>
  <c r="G66" i="6"/>
  <c r="E66" i="6"/>
  <c r="H65" i="6"/>
  <c r="G65" i="6"/>
  <c r="E65" i="6"/>
  <c r="H64" i="6"/>
  <c r="G64" i="6"/>
  <c r="E64" i="6"/>
  <c r="H63" i="6"/>
  <c r="G63" i="6"/>
  <c r="E63" i="6"/>
  <c r="H62" i="6"/>
  <c r="G62" i="6"/>
  <c r="E62" i="6"/>
  <c r="H61" i="6"/>
  <c r="G61" i="6"/>
  <c r="E61" i="6"/>
  <c r="H60" i="6"/>
  <c r="G60" i="6"/>
  <c r="E60" i="6"/>
  <c r="H59" i="6"/>
  <c r="G59" i="6"/>
  <c r="E59" i="6"/>
  <c r="H58" i="6"/>
  <c r="G58" i="6"/>
  <c r="E58" i="6"/>
  <c r="H57" i="6"/>
  <c r="G57" i="6"/>
  <c r="E57" i="6"/>
  <c r="H56" i="6"/>
  <c r="G56" i="6"/>
  <c r="E56" i="6"/>
  <c r="H55" i="6"/>
  <c r="G55" i="6"/>
  <c r="E55" i="6"/>
  <c r="H54" i="6"/>
  <c r="G54" i="6"/>
  <c r="E54" i="6"/>
  <c r="H53" i="6"/>
  <c r="G53" i="6"/>
  <c r="E53" i="6"/>
  <c r="H52" i="6"/>
  <c r="G52" i="6"/>
  <c r="E52" i="6"/>
  <c r="H51" i="6"/>
  <c r="G51" i="6"/>
  <c r="E51" i="6"/>
  <c r="H50" i="6"/>
  <c r="G50" i="6"/>
  <c r="E50" i="6"/>
  <c r="H49" i="6"/>
  <c r="G49" i="6"/>
  <c r="E49" i="6"/>
  <c r="H48" i="6"/>
  <c r="G48" i="6"/>
  <c r="E48" i="6"/>
  <c r="H47" i="6"/>
  <c r="G47" i="6"/>
  <c r="E47" i="6"/>
  <c r="H46" i="6"/>
  <c r="G46" i="6"/>
  <c r="E46" i="6"/>
  <c r="H45" i="6"/>
  <c r="G45" i="6"/>
  <c r="E45" i="6"/>
  <c r="H44" i="6"/>
  <c r="G44" i="6"/>
  <c r="E44" i="6"/>
  <c r="H43" i="6"/>
  <c r="G43" i="6"/>
  <c r="E43" i="6"/>
  <c r="H42" i="6"/>
  <c r="G42" i="6"/>
  <c r="E42" i="6"/>
  <c r="H41" i="6"/>
  <c r="G41" i="6"/>
  <c r="E41" i="6"/>
  <c r="H40" i="6"/>
  <c r="G40" i="6"/>
  <c r="E40" i="6"/>
  <c r="H39" i="6"/>
  <c r="G39" i="6"/>
  <c r="E39" i="6"/>
  <c r="H38" i="6"/>
  <c r="G38" i="6"/>
  <c r="E38" i="6"/>
  <c r="H37" i="6"/>
  <c r="G37" i="6"/>
  <c r="E37" i="6"/>
  <c r="H36" i="6"/>
  <c r="G36" i="6"/>
  <c r="E36" i="6"/>
  <c r="H35" i="6"/>
  <c r="G35" i="6"/>
  <c r="E35" i="6"/>
  <c r="H34" i="6"/>
  <c r="G34" i="6"/>
  <c r="E34" i="6"/>
  <c r="H33" i="6"/>
  <c r="G33" i="6"/>
  <c r="E33" i="6"/>
  <c r="H32" i="6"/>
  <c r="G32" i="6"/>
  <c r="E32" i="6"/>
  <c r="H31" i="6"/>
  <c r="G31" i="6"/>
  <c r="E31" i="6"/>
  <c r="H30" i="6"/>
  <c r="G30" i="6"/>
  <c r="E30" i="6"/>
  <c r="H29" i="6"/>
  <c r="G29" i="6"/>
  <c r="E29" i="6"/>
  <c r="H28" i="6"/>
  <c r="G28" i="6"/>
  <c r="E28" i="6"/>
  <c r="H27" i="6"/>
  <c r="G27" i="6"/>
  <c r="E27" i="6"/>
  <c r="H26" i="6"/>
  <c r="G26" i="6"/>
  <c r="E26" i="6"/>
  <c r="H25" i="6"/>
  <c r="G25" i="6"/>
  <c r="E25" i="6"/>
  <c r="H24" i="6"/>
  <c r="G24" i="6"/>
  <c r="E24" i="6"/>
  <c r="H23" i="6"/>
  <c r="G23" i="6"/>
  <c r="E23" i="6"/>
  <c r="H22" i="6"/>
  <c r="G22" i="6"/>
  <c r="E22" i="6"/>
  <c r="H21" i="6"/>
  <c r="G21" i="6"/>
  <c r="E21" i="6"/>
  <c r="H20" i="6"/>
  <c r="G20" i="6"/>
  <c r="E20" i="6"/>
  <c r="H19" i="6"/>
  <c r="G19" i="6"/>
  <c r="E19" i="6"/>
  <c r="H18" i="6"/>
  <c r="G18" i="6"/>
  <c r="E18" i="6"/>
  <c r="H17" i="6"/>
  <c r="G17" i="6"/>
  <c r="E17" i="6"/>
  <c r="H16" i="6"/>
  <c r="G16" i="6"/>
  <c r="E16" i="6"/>
  <c r="H15" i="6"/>
  <c r="G15" i="6"/>
  <c r="E15" i="6"/>
  <c r="H14" i="6"/>
  <c r="G14" i="6"/>
  <c r="E14" i="6"/>
  <c r="H13" i="6"/>
  <c r="G13" i="6"/>
  <c r="E13" i="6"/>
  <c r="H12" i="6"/>
  <c r="G12" i="6"/>
  <c r="E12" i="6"/>
  <c r="H11" i="6"/>
  <c r="G11" i="6"/>
  <c r="E11" i="6"/>
  <c r="H10" i="6"/>
  <c r="G10" i="6"/>
  <c r="E10" i="6"/>
  <c r="H9" i="6"/>
  <c r="G9" i="6"/>
  <c r="E9" i="6"/>
  <c r="H8" i="6"/>
  <c r="G8" i="6"/>
  <c r="E8" i="6"/>
  <c r="H7" i="6"/>
  <c r="G7" i="6"/>
  <c r="E7" i="6"/>
  <c r="H6" i="6"/>
  <c r="G6" i="6"/>
  <c r="E6" i="6"/>
  <c r="H5" i="6"/>
  <c r="G5" i="6"/>
  <c r="E5" i="6"/>
  <c r="J201" i="5"/>
  <c r="H201" i="5"/>
  <c r="J200" i="5"/>
  <c r="H200" i="5"/>
  <c r="J199" i="5"/>
  <c r="H199" i="5"/>
  <c r="J198" i="5"/>
  <c r="H198" i="5"/>
  <c r="J197" i="5"/>
  <c r="H197" i="5"/>
  <c r="J196" i="5"/>
  <c r="H196" i="5"/>
  <c r="J195" i="5"/>
  <c r="H195" i="5"/>
  <c r="J194" i="5"/>
  <c r="H194" i="5"/>
  <c r="J193" i="5"/>
  <c r="H193" i="5"/>
  <c r="J192" i="5"/>
  <c r="H192" i="5"/>
  <c r="J191" i="5"/>
  <c r="H191" i="5"/>
  <c r="J190" i="5"/>
  <c r="H190" i="5"/>
  <c r="J189" i="5"/>
  <c r="H189" i="5"/>
  <c r="J188" i="5"/>
  <c r="H188" i="5"/>
  <c r="J187" i="5"/>
  <c r="H187" i="5"/>
  <c r="J186" i="5"/>
  <c r="H186" i="5"/>
  <c r="J185" i="5"/>
  <c r="H185" i="5"/>
  <c r="J184" i="5"/>
  <c r="H184" i="5"/>
  <c r="J183" i="5"/>
  <c r="H183" i="5"/>
  <c r="J182" i="5"/>
  <c r="H182" i="5"/>
  <c r="J181" i="5"/>
  <c r="H181" i="5"/>
  <c r="J180" i="5"/>
  <c r="H180" i="5"/>
  <c r="J179" i="5"/>
  <c r="H179" i="5"/>
  <c r="J178" i="5"/>
  <c r="H178" i="5"/>
  <c r="J177" i="5"/>
  <c r="H177" i="5"/>
  <c r="J176" i="5"/>
  <c r="H176" i="5"/>
  <c r="J175" i="5"/>
  <c r="H175" i="5"/>
  <c r="J174" i="5"/>
  <c r="H174" i="5"/>
  <c r="J173" i="5"/>
  <c r="H173" i="5"/>
  <c r="J172" i="5"/>
  <c r="H172" i="5"/>
  <c r="J171" i="5"/>
  <c r="H171" i="5"/>
  <c r="J170" i="5"/>
  <c r="H170" i="5"/>
  <c r="J169" i="5"/>
  <c r="H169" i="5"/>
  <c r="J168" i="5"/>
  <c r="H168" i="5"/>
  <c r="J167" i="5"/>
  <c r="H167" i="5"/>
  <c r="J166" i="5"/>
  <c r="H166" i="5"/>
  <c r="J165" i="5"/>
  <c r="H165" i="5"/>
  <c r="J164" i="5"/>
  <c r="H164" i="5"/>
  <c r="J163" i="5"/>
  <c r="H163" i="5"/>
  <c r="J162" i="5"/>
  <c r="H162" i="5"/>
  <c r="J161" i="5"/>
  <c r="H161" i="5"/>
  <c r="J160" i="5"/>
  <c r="H160" i="5"/>
  <c r="J159" i="5"/>
  <c r="H159" i="5"/>
  <c r="J158" i="5"/>
  <c r="H158" i="5"/>
  <c r="J157" i="5"/>
  <c r="H157" i="5"/>
  <c r="J156" i="5"/>
  <c r="H156" i="5"/>
  <c r="J155" i="5"/>
  <c r="H155" i="5"/>
  <c r="J154" i="5"/>
  <c r="H154" i="5"/>
  <c r="J153" i="5"/>
  <c r="H153" i="5"/>
  <c r="J152" i="5"/>
  <c r="H152" i="5"/>
  <c r="J151" i="5"/>
  <c r="H151" i="5"/>
  <c r="J150" i="5"/>
  <c r="H150" i="5"/>
  <c r="J149" i="5"/>
  <c r="H149" i="5"/>
  <c r="J148" i="5"/>
  <c r="H148" i="5"/>
  <c r="J147" i="5"/>
  <c r="H147" i="5"/>
  <c r="J146" i="5"/>
  <c r="H146" i="5"/>
  <c r="J145" i="5"/>
  <c r="H145" i="5"/>
  <c r="J144" i="5"/>
  <c r="H144" i="5"/>
  <c r="J143" i="5"/>
  <c r="H143" i="5"/>
  <c r="J142" i="5"/>
  <c r="H142" i="5"/>
  <c r="J141" i="5"/>
  <c r="H141" i="5"/>
  <c r="J140" i="5"/>
  <c r="H140" i="5"/>
  <c r="J139" i="5"/>
  <c r="H139" i="5"/>
  <c r="J138" i="5"/>
  <c r="H138" i="5"/>
  <c r="J137" i="5"/>
  <c r="H137" i="5"/>
  <c r="J136" i="5"/>
  <c r="H136" i="5"/>
  <c r="J135" i="5"/>
  <c r="H135" i="5"/>
  <c r="J134" i="5"/>
  <c r="H134" i="5"/>
  <c r="J133" i="5"/>
  <c r="H133" i="5"/>
  <c r="J132" i="5"/>
  <c r="H132" i="5"/>
  <c r="J131" i="5"/>
  <c r="H131" i="5"/>
  <c r="J130" i="5"/>
  <c r="H130" i="5"/>
  <c r="J129" i="5"/>
  <c r="H129" i="5"/>
  <c r="J128" i="5"/>
  <c r="H128" i="5"/>
  <c r="J127" i="5"/>
  <c r="H127" i="5"/>
  <c r="J126" i="5"/>
  <c r="H126" i="5"/>
  <c r="J125" i="5"/>
  <c r="H125" i="5"/>
  <c r="J124" i="5"/>
  <c r="H124" i="5"/>
  <c r="J123" i="5"/>
  <c r="H123" i="5"/>
  <c r="J122" i="5"/>
  <c r="H122" i="5"/>
  <c r="J121" i="5"/>
  <c r="H121" i="5"/>
  <c r="J120" i="5"/>
  <c r="H120" i="5"/>
  <c r="J119" i="5"/>
  <c r="H119" i="5"/>
  <c r="J118" i="5"/>
  <c r="H118" i="5"/>
  <c r="J117" i="5"/>
  <c r="H117" i="5"/>
  <c r="J116" i="5"/>
  <c r="H116" i="5"/>
  <c r="J115" i="5"/>
  <c r="H115" i="5"/>
  <c r="J114" i="5"/>
  <c r="H114" i="5"/>
  <c r="J113" i="5"/>
  <c r="H113" i="5"/>
  <c r="J112" i="5"/>
  <c r="H112" i="5"/>
  <c r="J111" i="5"/>
  <c r="H111" i="5"/>
  <c r="J110" i="5"/>
  <c r="H110" i="5"/>
  <c r="J109" i="5"/>
  <c r="H109" i="5"/>
  <c r="J108" i="5"/>
  <c r="H108" i="5"/>
  <c r="J107" i="5"/>
  <c r="H107" i="5"/>
  <c r="J106" i="5"/>
  <c r="H106" i="5"/>
  <c r="J105" i="5"/>
  <c r="H105" i="5"/>
  <c r="J104" i="5"/>
  <c r="H104" i="5"/>
  <c r="J103" i="5"/>
  <c r="H103" i="5"/>
  <c r="J102" i="5"/>
  <c r="H102" i="5"/>
  <c r="J101" i="5"/>
  <c r="H101" i="5"/>
  <c r="J100" i="5"/>
  <c r="H100" i="5"/>
  <c r="J99" i="5"/>
  <c r="H99" i="5"/>
  <c r="J98" i="5"/>
  <c r="H98" i="5"/>
  <c r="J97" i="5"/>
  <c r="H97" i="5"/>
  <c r="J96" i="5"/>
  <c r="H96" i="5"/>
  <c r="J95" i="5"/>
  <c r="H95" i="5"/>
  <c r="J94" i="5"/>
  <c r="H94" i="5"/>
  <c r="J93" i="5"/>
  <c r="H93" i="5"/>
  <c r="J92" i="5"/>
  <c r="H92" i="5"/>
  <c r="J91" i="5"/>
  <c r="H91" i="5"/>
  <c r="J90" i="5"/>
  <c r="H90" i="5"/>
  <c r="J89" i="5"/>
  <c r="H89" i="5"/>
  <c r="J88" i="5"/>
  <c r="H88" i="5"/>
  <c r="J87" i="5"/>
  <c r="H87" i="5"/>
  <c r="J86" i="5"/>
  <c r="H86" i="5"/>
  <c r="J85" i="5"/>
  <c r="H85" i="5"/>
  <c r="J84" i="5"/>
  <c r="H84" i="5"/>
  <c r="J83" i="5"/>
  <c r="H83" i="5"/>
  <c r="J82" i="5"/>
  <c r="H82" i="5"/>
  <c r="J81" i="5"/>
  <c r="H81" i="5"/>
  <c r="J80" i="5"/>
  <c r="H80" i="5"/>
  <c r="J79" i="5"/>
  <c r="H79" i="5"/>
  <c r="J78" i="5"/>
  <c r="H78" i="5"/>
  <c r="J77" i="5"/>
  <c r="H77" i="5"/>
  <c r="J76" i="5"/>
  <c r="H76" i="5"/>
  <c r="J75" i="5"/>
  <c r="H75" i="5"/>
  <c r="J74" i="5"/>
  <c r="H74" i="5"/>
  <c r="J73" i="5"/>
  <c r="H73" i="5"/>
  <c r="J72" i="5"/>
  <c r="H72" i="5"/>
  <c r="J71" i="5"/>
  <c r="H71" i="5"/>
  <c r="J70" i="5"/>
  <c r="H70" i="5"/>
  <c r="J69" i="5"/>
  <c r="H69" i="5"/>
  <c r="J68" i="5"/>
  <c r="H68" i="5"/>
  <c r="J67" i="5"/>
  <c r="H67" i="5"/>
  <c r="J66" i="5"/>
  <c r="H66" i="5"/>
  <c r="J65" i="5"/>
  <c r="H65" i="5"/>
  <c r="J64" i="5"/>
  <c r="H64" i="5"/>
  <c r="J63" i="5"/>
  <c r="H63" i="5"/>
  <c r="J62" i="5"/>
  <c r="H62" i="5"/>
  <c r="J61" i="5"/>
  <c r="H61" i="5"/>
  <c r="J60" i="5"/>
  <c r="H60" i="5"/>
  <c r="J59" i="5"/>
  <c r="H59" i="5"/>
  <c r="J58" i="5"/>
  <c r="H58" i="5"/>
  <c r="J57" i="5"/>
  <c r="H57" i="5"/>
  <c r="J56" i="5"/>
  <c r="H56" i="5"/>
  <c r="J55" i="5"/>
  <c r="H55" i="5"/>
  <c r="J54" i="5"/>
  <c r="H54" i="5"/>
  <c r="J53" i="5"/>
  <c r="H53" i="5"/>
  <c r="J52" i="5"/>
  <c r="H52" i="5"/>
  <c r="J51" i="5"/>
  <c r="H51" i="5"/>
  <c r="J50" i="5"/>
  <c r="H50" i="5"/>
  <c r="J49" i="5"/>
  <c r="H49" i="5"/>
  <c r="J48" i="5"/>
  <c r="H48" i="5"/>
  <c r="J47" i="5"/>
  <c r="H47" i="5"/>
  <c r="J46" i="5"/>
  <c r="H46" i="5"/>
  <c r="G41" i="5"/>
  <c r="F41" i="5"/>
  <c r="E41" i="5"/>
  <c r="D41" i="5"/>
  <c r="G40" i="5"/>
  <c r="F40" i="5"/>
  <c r="E40" i="5"/>
  <c r="D40" i="5"/>
  <c r="G39" i="5"/>
  <c r="F39" i="5"/>
  <c r="E39" i="5"/>
  <c r="D39" i="5"/>
  <c r="G38" i="5"/>
  <c r="F38" i="5"/>
  <c r="E38" i="5"/>
  <c r="D38" i="5"/>
  <c r="G37" i="5"/>
  <c r="F37" i="5"/>
  <c r="E37" i="5"/>
  <c r="D37" i="5"/>
  <c r="G36" i="5"/>
  <c r="F36" i="5"/>
  <c r="E36" i="5"/>
  <c r="D36" i="5"/>
  <c r="G35" i="5"/>
  <c r="F35" i="5"/>
  <c r="E35" i="5"/>
  <c r="D35" i="5"/>
  <c r="G34" i="5"/>
  <c r="F34" i="5"/>
  <c r="E34" i="5"/>
  <c r="D34" i="5"/>
  <c r="G33" i="5"/>
  <c r="F33" i="5"/>
  <c r="E33" i="5"/>
  <c r="D33" i="5"/>
  <c r="G32" i="5"/>
  <c r="F32" i="5"/>
  <c r="E32" i="5"/>
  <c r="D32" i="5"/>
  <c r="G31" i="5"/>
  <c r="F31" i="5"/>
  <c r="E31" i="5"/>
  <c r="D31" i="5"/>
  <c r="G30" i="5"/>
  <c r="F30" i="5"/>
  <c r="E30" i="5"/>
  <c r="D30" i="5"/>
  <c r="G29" i="5"/>
  <c r="F29" i="5"/>
  <c r="E29" i="5"/>
  <c r="D29" i="5"/>
  <c r="G28" i="5"/>
  <c r="F28" i="5"/>
  <c r="E28" i="5"/>
  <c r="D28" i="5"/>
  <c r="G27" i="5"/>
  <c r="F27" i="5"/>
  <c r="E27" i="5"/>
  <c r="D27" i="5"/>
  <c r="G26" i="5"/>
  <c r="F26" i="5"/>
  <c r="E26" i="5"/>
  <c r="D26" i="5"/>
  <c r="G25" i="5"/>
  <c r="F25" i="5"/>
  <c r="E25" i="5"/>
  <c r="D25" i="5"/>
  <c r="G24" i="5"/>
  <c r="F24" i="5"/>
  <c r="E24" i="5"/>
  <c r="D24" i="5"/>
  <c r="G23" i="5"/>
  <c r="F23" i="5"/>
  <c r="E23" i="5"/>
  <c r="D23" i="5"/>
  <c r="G22" i="5"/>
  <c r="F22" i="5"/>
  <c r="E22" i="5"/>
  <c r="D22" i="5"/>
  <c r="G21" i="5"/>
  <c r="F21" i="5"/>
  <c r="E21" i="5"/>
  <c r="D21" i="5"/>
  <c r="G20" i="5"/>
  <c r="F20" i="5"/>
  <c r="E20" i="5"/>
  <c r="D20" i="5"/>
  <c r="G19" i="5"/>
  <c r="F19" i="5"/>
  <c r="E19" i="5"/>
  <c r="D19" i="5"/>
  <c r="G18" i="5"/>
  <c r="F18" i="5"/>
  <c r="E18" i="5"/>
  <c r="D18" i="5"/>
  <c r="G17" i="5"/>
  <c r="F17" i="5"/>
  <c r="E17" i="5"/>
  <c r="D17" i="5"/>
  <c r="G16" i="5"/>
  <c r="F16" i="5"/>
  <c r="E16" i="5"/>
  <c r="D16" i="5"/>
  <c r="G15" i="5"/>
  <c r="F15" i="5"/>
  <c r="E15" i="5"/>
  <c r="D15" i="5"/>
  <c r="G14" i="5"/>
  <c r="F14" i="5"/>
  <c r="E14" i="5"/>
  <c r="D14" i="5"/>
  <c r="G13" i="5"/>
  <c r="F13" i="5"/>
  <c r="E13" i="5"/>
  <c r="D13" i="5"/>
  <c r="G12" i="5"/>
  <c r="F12" i="5"/>
  <c r="E12" i="5"/>
  <c r="D12" i="5"/>
  <c r="G11" i="5"/>
  <c r="F11" i="5"/>
  <c r="E11" i="5"/>
  <c r="D11" i="5"/>
  <c r="G10" i="5"/>
  <c r="F10" i="5"/>
  <c r="E10" i="5"/>
  <c r="D10" i="5"/>
  <c r="G9" i="5"/>
  <c r="F9" i="5"/>
  <c r="E9" i="5"/>
  <c r="D9" i="5"/>
  <c r="G8" i="5"/>
  <c r="F8" i="5"/>
  <c r="E8" i="5"/>
  <c r="D8" i="5"/>
  <c r="G7" i="5"/>
  <c r="F7" i="5"/>
  <c r="E7" i="5"/>
  <c r="D7" i="5"/>
  <c r="G6" i="5"/>
  <c r="F6" i="5"/>
  <c r="E6" i="5"/>
  <c r="D6" i="5"/>
  <c r="S13" i="1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C22" i="3"/>
  <c r="B22" i="3"/>
  <c r="C21" i="3"/>
  <c r="B21" i="3"/>
  <c r="C20" i="3"/>
  <c r="B20" i="3"/>
  <c r="J16" i="3"/>
  <c r="I16" i="3"/>
  <c r="H16" i="3"/>
  <c r="G16" i="3"/>
  <c r="J15" i="3"/>
  <c r="I15" i="3"/>
  <c r="H15" i="3"/>
  <c r="G15" i="3"/>
  <c r="J14" i="3"/>
  <c r="I14" i="3"/>
  <c r="H14" i="3"/>
  <c r="G14" i="3"/>
  <c r="J13" i="3"/>
  <c r="I13" i="3"/>
  <c r="H13" i="3"/>
  <c r="G13" i="3"/>
  <c r="J12" i="3"/>
  <c r="I12" i="3"/>
  <c r="H12" i="3"/>
  <c r="G12" i="3"/>
  <c r="J11" i="3"/>
  <c r="I11" i="3"/>
  <c r="H11" i="3"/>
  <c r="G11" i="3"/>
  <c r="J10" i="3"/>
  <c r="I10" i="3"/>
  <c r="H10" i="3"/>
  <c r="G10" i="3"/>
  <c r="J9" i="3"/>
  <c r="I9" i="3"/>
  <c r="H9" i="3"/>
  <c r="G9" i="3"/>
  <c r="J8" i="3"/>
  <c r="I8" i="3"/>
  <c r="H8" i="3"/>
  <c r="G8" i="3"/>
  <c r="J7" i="3"/>
  <c r="I7" i="3"/>
  <c r="H7" i="3"/>
  <c r="G7" i="3"/>
  <c r="J6" i="3"/>
  <c r="I6" i="3"/>
  <c r="H6" i="3"/>
  <c r="G6" i="3"/>
  <c r="J5" i="3"/>
  <c r="I5" i="3"/>
  <c r="H5" i="3"/>
  <c r="G5" i="3"/>
  <c r="B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tc={0046B927-357D-48C4-A7D9-AFAEC198A4BA}</author>
    <author>tc={E89468A1-5A5A-4277-A357-6FA75B7BB5D0}</author>
  </authors>
  <commentList>
    <comment ref="B6" authorId="0" shapeId="0" xr:uid="{00000000-0006-0000-0100-000001000000}">
      <text>
        <r>
          <rPr>
            <sz val="10"/>
            <rFont val="宋体"/>
            <family val="3"/>
            <charset val="134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预算演示的中央情景开关。切换后目标、销售、生产、采购、损益和看板联动更新。</t>
        </r>
      </text>
    </comment>
    <comment ref="B7" authorId="1" shapeId="0" xr:uid="{00000000-0006-0000-0100-000002000000}">
      <text>
        <r>
          <rPr>
            <sz val="10"/>
            <rFont val="宋体"/>
            <family val="3"/>
            <charset val="134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Assumption: 虚构零售带生产企业年度收入基准目标，仅用于售前演示。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tc={C639614D-242C-4A96-B9D7-3C4227693075}</author>
  </authors>
  <commentList>
    <comment ref="G6" authorId="0" shapeId="0" xr:uid="{00000000-0006-0000-0500-000001000000}">
      <text>
        <r>
          <rPr>
            <sz val="10"/>
            <rFont val="宋体"/>
            <family val="3"/>
            <charset val="134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公式逻辑：计划生产=销售需求+目标期末库存-期初库存，可用于演示计算过程跟踪。</t>
        </r>
      </text>
    </comment>
  </commentList>
</comments>
</file>

<file path=xl/sharedStrings.xml><?xml version="1.0" encoding="utf-8"?>
<sst xmlns="http://schemas.openxmlformats.org/spreadsheetml/2006/main" count="2302" uniqueCount="498">
  <si>
    <t>零售带生产企业 · 全面预算演示场景</t>
  </si>
  <si>
    <t>虚构案例：澄鲜生活科技｜年度预算 + 月度滚动｜单位：万元 / 件</t>
  </si>
  <si>
    <t>从战略目标到经营闭环：目标 → 销售 → 生产/BOM → 采购 → 费用 → 损益 → 滚动预测 → 控制分析</t>
  </si>
  <si>
    <t>演示环节</t>
  </si>
  <si>
    <t>业务问题</t>
  </si>
  <si>
    <t>关键角色</t>
  </si>
  <si>
    <t>输入/动作</t>
  </si>
  <si>
    <t>核心输出</t>
  </si>
  <si>
    <t>产品优势</t>
  </si>
  <si>
    <t>1. 目标测算与分解</t>
  </si>
  <si>
    <t>集团目标如何落到区域和产品？</t>
  </si>
  <si>
    <t>CEO / CFO</t>
  </si>
  <si>
    <t>切换基准、乐观、审慎情景；调整权重</t>
  </si>
  <si>
    <t>区域×产品目标、差异与完成率</t>
  </si>
  <si>
    <t>多版本测算；自动/手工分解；多维汇总</t>
  </si>
  <si>
    <t>2. 销售预算</t>
  </si>
  <si>
    <t>销量如何按区域、渠道、产品形成？</t>
  </si>
  <si>
    <t>区域总经理 / 销售经理</t>
  </si>
  <si>
    <t>录入渠道权重、价格与月度季节性</t>
  </si>
  <si>
    <t>48个经营单元的销量、收入和目标差</t>
  </si>
  <si>
    <t>关键驱动编制；权限隔离；实时汇总</t>
  </si>
  <si>
    <t>3. 生产与BOM</t>
  </si>
  <si>
    <t>销售需求如何拉动生产和物料？</t>
  </si>
  <si>
    <t>计划经理 / 工厂经理</t>
  </si>
  <si>
    <t>设定安全库存；展开三级主数据关系</t>
  </si>
  <si>
    <t>月度生产量、108行BOM净需求</t>
  </si>
  <si>
    <t>跨模型读写；复杂计算；过程可追踪</t>
  </si>
  <si>
    <t>4. 采购与费用</t>
  </si>
  <si>
    <t>物料、物流、营销等预算如何联动？</t>
  </si>
  <si>
    <t>采购 / 各区域负责人</t>
  </si>
  <si>
    <t>供应商、缓冲率、费用率和零基项目</t>
  </si>
  <si>
    <t>采购金额、区域费用预算</t>
  </si>
  <si>
    <t>标准库；业务财务勾稽；数据校验</t>
  </si>
  <si>
    <t>5. 损益与预测</t>
  </si>
  <si>
    <t>全年利润是否达标？偏差如何修正？</t>
  </si>
  <si>
    <t>CFO / 财务BP</t>
  </si>
  <si>
    <t>查看预算损益；用实际替换已发生月份</t>
  </si>
  <si>
    <t>收入、毛利、营业利润、滚动预测</t>
  </si>
  <si>
    <t>预实分析；滚动预测；版本对比</t>
  </si>
  <si>
    <t>6. 控制与审批</t>
  </si>
  <si>
    <t>如何保证预算执行与责任闭环？</t>
  </si>
  <si>
    <t>预算管理员 / 审批人</t>
  </si>
  <si>
    <t>发起、审批、控制阈值和预警</t>
  </si>
  <si>
    <t>流程状态、刚柔性控制、审计轨迹</t>
  </si>
  <si>
    <t>自定义流程；多级权限；消息与日志</t>
  </si>
  <si>
    <t>建议演示路径与讲解重点</t>
  </si>
  <si>
    <t>01</t>
  </si>
  <si>
    <t>先切换情景</t>
  </si>
  <si>
    <t>在主数据假设中切换版本，观察集团目标、销售量与利润同步变化</t>
  </si>
  <si>
    <t>02</t>
  </si>
  <si>
    <t>再做目标下达</t>
  </si>
  <si>
    <t>展示区域×产品的自动分解，以及目标与自下而上销售预算的实时对比</t>
  </si>
  <si>
    <t>03</t>
  </si>
  <si>
    <t>穿透到业务驱动</t>
  </si>
  <si>
    <t>从销售预算穿透生产计划，再展开BOM、采购与费用，体现业财一体</t>
  </si>
  <si>
    <t>04</t>
  </si>
  <si>
    <t>展示预测与预警</t>
  </si>
  <si>
    <t>用1-4月实际替换预算，查看滚动预测、利润偏差和红绿灯预警</t>
  </si>
  <si>
    <t>05</t>
  </si>
  <si>
    <t>收口到平台能力</t>
  </si>
  <si>
    <t>展示流程、权限、校验、审计、Office插件、AI分析与系统集成</t>
  </si>
  <si>
    <t>演示提示：黄色单元格为可调整假设；蓝色单元格为公式计算；绿色/橙色/红色用于状态与预警。所有数据均为虚构，仅用于产品演示。</t>
  </si>
  <si>
    <t>主数据与预算假设</t>
  </si>
  <si>
    <t>统一管理情景、组织、产品、渠道、成本与季节性；黄色为演示可调参数</t>
  </si>
  <si>
    <t>情景与集团目标</t>
  </si>
  <si>
    <t>产品主数据</t>
  </si>
  <si>
    <t>参数</t>
  </si>
  <si>
    <t>值</t>
  </si>
  <si>
    <t>情景</t>
  </si>
  <si>
    <t>系数</t>
  </si>
  <si>
    <t>说明</t>
  </si>
  <si>
    <t>产品编码</t>
  </si>
  <si>
    <t>产品名称</t>
  </si>
  <si>
    <t>品类</t>
  </si>
  <si>
    <t>建议零售价（元）</t>
  </si>
  <si>
    <t>目标结构</t>
  </si>
  <si>
    <t>单位加工费（元）</t>
  </si>
  <si>
    <t>期末库存率</t>
  </si>
  <si>
    <t>标准总成本（元）</t>
  </si>
  <si>
    <t>当前情景</t>
  </si>
  <si>
    <t>基准</t>
  </si>
  <si>
    <t>年度经营计划</t>
  </si>
  <si>
    <t>P1001</t>
  </si>
  <si>
    <t>智享破壁机</t>
  </si>
  <si>
    <t>厨房小电</t>
  </si>
  <si>
    <t>基准年度收入目标（万元）</t>
  </si>
  <si>
    <t>乐观</t>
  </si>
  <si>
    <t>新品放量、线上增长</t>
  </si>
  <si>
    <t>P1002</t>
  </si>
  <si>
    <t>轻享空气炸锅</t>
  </si>
  <si>
    <t>情景系数</t>
  </si>
  <si>
    <t>审慎</t>
  </si>
  <si>
    <t>需求承压、渠道去库存</t>
  </si>
  <si>
    <t>P1003</t>
  </si>
  <si>
    <t>鲜萃咖啡机</t>
  </si>
  <si>
    <t>咖啡电器</t>
  </si>
  <si>
    <t>目标毛利率</t>
  </si>
  <si>
    <t>渠道主数据</t>
  </si>
  <si>
    <t>区域主数据与分解权重</t>
  </si>
  <si>
    <t>渠道编码</t>
  </si>
  <si>
    <t>渠道</t>
  </si>
  <si>
    <t>结构权重</t>
  </si>
  <si>
    <t>价格折扣</t>
  </si>
  <si>
    <t>回款天数</t>
  </si>
  <si>
    <t>区域编码</t>
  </si>
  <si>
    <t>区域</t>
  </si>
  <si>
    <t>收入权重</t>
  </si>
  <si>
    <t>负责人</t>
  </si>
  <si>
    <t>C01</t>
  </si>
  <si>
    <t>直营网点</t>
  </si>
  <si>
    <t>R01</t>
  </si>
  <si>
    <t>华东</t>
  </si>
  <si>
    <t>华东总经理</t>
  </si>
  <si>
    <t>C02</t>
  </si>
  <si>
    <t>电商平台</t>
  </si>
  <si>
    <t>R02</t>
  </si>
  <si>
    <t>华南</t>
  </si>
  <si>
    <t>华南总经理</t>
  </si>
  <si>
    <t>C03</t>
  </si>
  <si>
    <t>KA商超</t>
  </si>
  <si>
    <t>R03</t>
  </si>
  <si>
    <t>华北</t>
  </si>
  <si>
    <t>华北总经理</t>
  </si>
  <si>
    <t>C04</t>
  </si>
  <si>
    <t>经销商</t>
  </si>
  <si>
    <t>R04</t>
  </si>
  <si>
    <t>西部</t>
  </si>
  <si>
    <t>西部总经理</t>
  </si>
  <si>
    <t>月度季节性</t>
  </si>
  <si>
    <t>指标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</si>
  <si>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</si>
  <si>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</si>
  <si>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</si>
  <si>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</si>
  <si>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</si>
  <si>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</si>
  <si>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</si>
  <si>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</si>
  <si>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</si>
  <si>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</si>
  <si>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</si>
  <si>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</si>
  <si>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销售季节性</t>
  </si>
  <si>
    <t>费用驱动与控制参数</t>
  </si>
  <si>
    <t>部件与采购标准</t>
  </si>
  <si>
    <t>费用类别</t>
  </si>
  <si>
    <t>预算方法</t>
  </si>
  <si>
    <t>驱动参数</t>
  </si>
  <si>
    <t>控制方式</t>
  </si>
  <si>
    <t>部件编码</t>
  </si>
  <si>
    <t>部件名称</t>
  </si>
  <si>
    <t>标准单价（元）</t>
  </si>
  <si>
    <t>供应商</t>
  </si>
  <si>
    <t>采购提前期（天）</t>
  </si>
  <si>
    <t>采购缓冲率</t>
  </si>
  <si>
    <t>质量等级</t>
  </si>
  <si>
    <t>营销费</t>
  </si>
  <si>
    <t>收入比例</t>
  </si>
  <si>
    <t>弹性控制110%</t>
  </si>
  <si>
    <t>M001</t>
  </si>
  <si>
    <t>高速电机</t>
  </si>
  <si>
    <t>精工电机</t>
  </si>
  <si>
    <t>A</t>
  </si>
  <si>
    <t>物流费</t>
  </si>
  <si>
    <t>累计控制105%</t>
  </si>
  <si>
    <t>M002</t>
  </si>
  <si>
    <t>玻璃杯体</t>
  </si>
  <si>
    <t>晶玻制造</t>
  </si>
  <si>
    <t>人员费</t>
  </si>
  <si>
    <t>区域固定额/月</t>
  </si>
  <si>
    <t>刚性控制100%</t>
  </si>
  <si>
    <t>M003</t>
  </si>
  <si>
    <t>控制主板</t>
  </si>
  <si>
    <t>智控电子</t>
  </si>
  <si>
    <t>门店运营费</t>
  </si>
  <si>
    <t>总量控制100%</t>
  </si>
  <si>
    <t>M004</t>
  </si>
  <si>
    <t>加热盘</t>
  </si>
  <si>
    <t>热能科技</t>
  </si>
  <si>
    <t>M005</t>
  </si>
  <si>
    <t>金属炸篮</t>
  </si>
  <si>
    <t>恒金五金</t>
  </si>
  <si>
    <t>B</t>
  </si>
  <si>
    <t>M006</t>
  </si>
  <si>
    <t>萃取泵</t>
  </si>
  <si>
    <t>咖享机电</t>
  </si>
  <si>
    <t>M007</t>
  </si>
  <si>
    <t>冲煮组件</t>
  </si>
  <si>
    <t>M008</t>
  </si>
  <si>
    <t>包装套件</t>
  </si>
  <si>
    <t>华彩包装</t>
  </si>
  <si>
    <t>能力体现：主数据集中维护、维度关联、标准库、版本/情景管理、单元格级权限、Excel批量导入。修改黄色参数后，下游目标、销售、生产、采购、损益和看板联动更新。</t>
  </si>
  <si>
    <t>战略目标分解：集团 → 区域 → 产品</t>
  </si>
  <si>
    <t>按区域权重×产品结构自动分解，并与自下而上销售预算比较</t>
  </si>
  <si>
    <t>产品</t>
  </si>
  <si>
    <t>区域权重</t>
  </si>
  <si>
    <t>产品结构</t>
  </si>
  <si>
    <t>年度收入目标（万元）</t>
  </si>
  <si>
    <t>销售上报（万元）</t>
  </si>
  <si>
    <t>差异（万元）</t>
  </si>
  <si>
    <t>集团目标与上报汇总</t>
  </si>
  <si>
    <t>基准目标</t>
  </si>
  <si>
    <t>收入目标（万元）</t>
  </si>
  <si>
    <t>情景系数驱动</t>
  </si>
  <si>
    <t>渠道×区域×产品汇总</t>
  </si>
  <si>
    <t>目标差异（万元）</t>
  </si>
  <si>
    <t>上报-目标</t>
  </si>
  <si>
    <t>销售预算：区域 × 渠道 × 产品 × 月份</t>
  </si>
  <si>
    <t>目标约束下，以价格、渠道结构和季节性驱动销量；支持自下而上汇总</t>
  </si>
  <si>
    <t>净价（元）</t>
  </si>
  <si>
    <t>标准成本（元）</t>
  </si>
  <si>
    <t>全年销量（件）</t>
  </si>
  <si>
    <t>全年收入（万元）</t>
  </si>
  <si>
    <t>目标收入（万元）</t>
  </si>
  <si>
    <t>回款假设</t>
  </si>
  <si>
    <t>发货付款</t>
  </si>
  <si>
    <r>
      <t>3</t>
    </r>
    <r>
      <rPr>
        <sz val="11"/>
        <rFont val="宋体"/>
        <family val="3"/>
        <charset val="134"/>
      </rPr>
      <t>个月回款</t>
    </r>
  </si>
  <si>
    <r>
      <t>首付</t>
    </r>
    <r>
      <rPr>
        <sz val="11"/>
        <rFont val="Carlito"/>
        <charset val="134"/>
      </rPr>
      <t>70%,3</t>
    </r>
    <r>
      <rPr>
        <sz val="11"/>
        <rFont val="宋体"/>
        <family val="3"/>
        <charset val="134"/>
      </rPr>
      <t>个月</t>
    </r>
    <r>
      <rPr>
        <sz val="11"/>
        <rFont val="Carlito"/>
        <charset val="134"/>
      </rPr>
      <t>30%</t>
    </r>
  </si>
  <si>
    <r>
      <t>首付</t>
    </r>
    <r>
      <rPr>
        <sz val="11"/>
        <rFont val="Carlito"/>
        <charset val="134"/>
      </rPr>
      <t>30%,3</t>
    </r>
    <r>
      <rPr>
        <sz val="11"/>
        <rFont val="宋体"/>
        <family val="3"/>
        <charset val="134"/>
      </rPr>
      <t>个月</t>
    </r>
    <r>
      <rPr>
        <sz val="11"/>
        <rFont val="Carlito"/>
        <charset val="134"/>
      </rPr>
      <t>50%,4</t>
    </r>
    <r>
      <rPr>
        <sz val="11"/>
        <rFont val="宋体"/>
        <family val="3"/>
        <charset val="134"/>
      </rPr>
      <t>个月</t>
    </r>
    <r>
      <rPr>
        <sz val="11"/>
        <rFont val="Carlito"/>
        <charset val="134"/>
      </rPr>
      <t>20%</t>
    </r>
  </si>
  <si>
    <t>销售收入</t>
  </si>
  <si>
    <t>销售预算表销售收入按渠道汇总</t>
  </si>
  <si>
    <t>30+200*0.7</t>
  </si>
  <si>
    <t>销售收到的现金</t>
  </si>
  <si>
    <r>
      <t>销售收入</t>
    </r>
    <r>
      <rPr>
        <sz val="11"/>
        <rFont val="Carlito"/>
        <charset val="134"/>
      </rPr>
      <t xml:space="preserve">* </t>
    </r>
    <r>
      <rPr>
        <sz val="11"/>
        <rFont val="宋体"/>
        <family val="3"/>
        <charset val="134"/>
      </rPr>
      <t>回款假设</t>
    </r>
  </si>
  <si>
    <t>应收账款</t>
  </si>
  <si>
    <t>期初、增加、减少、期末</t>
  </si>
  <si>
    <t>需要累计概念，需要填期初</t>
  </si>
  <si>
    <t>生产计划与BOM展开</t>
  </si>
  <si>
    <t>销售需求拉动生产；库存政策平衡供需；BOM自动形成物料净需求</t>
  </si>
  <si>
    <t>月度生产计划</t>
  </si>
  <si>
    <t>月份</t>
  </si>
  <si>
    <t>销售需求（件）</t>
  </si>
  <si>
    <t>期初库存（件）</t>
  </si>
  <si>
    <t>目标期末库存（件）</t>
  </si>
  <si>
    <t>计划生产（件）</t>
  </si>
  <si>
    <t>BOM展开与月度物料需求</t>
  </si>
  <si>
    <t>单耗</t>
  </si>
  <si>
    <t>损耗率</t>
  </si>
  <si>
    <t>净需求量</t>
  </si>
  <si>
    <t>物料金额（万元）</t>
  </si>
  <si>
    <t>采购预算：BOM需求 → 采购量 → 采购金额</t>
  </si>
  <si>
    <t>按部件、供应商和月份汇总，叠加采购缓冲与提前期</t>
  </si>
  <si>
    <t>计划采购量</t>
  </si>
  <si>
    <t>采购金额（万元）</t>
  </si>
  <si>
    <t>费用预算：区域责任中心 × 费用类别 × 月份</t>
  </si>
  <si>
    <t>收入比例法与固定额法并存；演示标准库、零基项目和组合控制</t>
  </si>
  <si>
    <t>全年预算（万元）</t>
  </si>
  <si>
    <t>固定额</t>
  </si>
  <si>
    <t>预算损益表</t>
  </si>
  <si>
    <t>销售、标准成本与费用预算自动勾稽形成管理损益</t>
  </si>
  <si>
    <t>损益项目</t>
  </si>
  <si>
    <t>全年</t>
  </si>
  <si>
    <t>营业收入</t>
  </si>
  <si>
    <t>销售成本</t>
  </si>
  <si>
    <t>毛利</t>
  </si>
  <si>
    <t>毛利率</t>
  </si>
  <si>
    <t>营业利润</t>
  </si>
  <si>
    <t>营业利润率</t>
  </si>
  <si>
    <t>管理解读</t>
  </si>
  <si>
    <t>结果</t>
  </si>
  <si>
    <t>阈值</t>
  </si>
  <si>
    <t>状态</t>
  </si>
  <si>
    <t>建议动作</t>
  </si>
  <si>
    <t>产品能力</t>
  </si>
  <si>
    <t>目标达成率</t>
  </si>
  <si>
    <t>调整区域/渠道组合</t>
  </si>
  <si>
    <t>目标与上报对比</t>
  </si>
  <si>
    <t>检查折扣、产品结构和BOM成本</t>
  </si>
  <si>
    <t>多维穿透分析</t>
  </si>
  <si>
    <t>复盘费用率与固定成本</t>
  </si>
  <si>
    <t>预警与假设分析</t>
  </si>
  <si>
    <r>
      <t>到部门</t>
    </r>
    <r>
      <rPr>
        <sz val="11"/>
        <rFont val="Carlito"/>
        <charset val="134"/>
      </rPr>
      <t>X</t>
    </r>
    <r>
      <rPr>
        <sz val="11"/>
        <rFont val="宋体"/>
        <family val="3"/>
        <charset val="134"/>
      </rPr>
      <t>职级</t>
    </r>
  </si>
  <si>
    <t>到个人</t>
  </si>
  <si>
    <r>
      <t>1.</t>
    </r>
    <r>
      <rPr>
        <sz val="11"/>
        <rFont val="宋体"/>
        <family val="3"/>
        <charset val="134"/>
      </rPr>
      <t>按资产类别</t>
    </r>
  </si>
  <si>
    <r>
      <t>2.</t>
    </r>
    <r>
      <rPr>
        <sz val="11"/>
        <rFont val="宋体"/>
        <family val="3"/>
        <charset val="134"/>
      </rPr>
      <t>按资产明细</t>
    </r>
  </si>
  <si>
    <r>
      <t>需要算资产折旧，需要演示存量资产折旧</t>
    </r>
    <r>
      <rPr>
        <sz val="11"/>
        <rFont val="Carlito"/>
        <charset val="134"/>
      </rPr>
      <t>+</t>
    </r>
    <r>
      <rPr>
        <sz val="11"/>
        <rFont val="宋体"/>
        <family val="3"/>
        <charset val="134"/>
      </rPr>
      <t>新增资产计算的折旧</t>
    </r>
  </si>
  <si>
    <t>滚动预测：实际 + 最新预测</t>
  </si>
  <si>
    <t>1-4月以模拟实际替换预算，5-12月按最新业务判断滚动更新</t>
  </si>
  <si>
    <t>全年预算</t>
  </si>
  <si>
    <t>滚动预测</t>
  </si>
  <si>
    <t>预测差异</t>
  </si>
  <si>
    <t>滚动逻辑</t>
  </si>
  <si>
    <t>区间</t>
  </si>
  <si>
    <t>数据类型</t>
  </si>
  <si>
    <t>模拟业务说明</t>
  </si>
  <si>
    <t>责任人</t>
  </si>
  <si>
    <t>版本</t>
  </si>
  <si>
    <t>能力体现</t>
  </si>
  <si>
    <t>1-4月</t>
  </si>
  <si>
    <t>实际</t>
  </si>
  <si>
    <t>ERP实绩覆盖原预算</t>
  </si>
  <si>
    <t>财务BP</t>
  </si>
  <si>
    <t>Actual Apr</t>
  </si>
  <si>
    <t>实际补录/接口集成</t>
  </si>
  <si>
    <t>5-8月</t>
  </si>
  <si>
    <t>近期预测</t>
  </si>
  <si>
    <t>订单、促销、库存修订</t>
  </si>
  <si>
    <t>销售/供应链</t>
  </si>
  <si>
    <t>RF08</t>
  </si>
  <si>
    <t>自定义滚动流程</t>
  </si>
  <si>
    <t>9-12月</t>
  </si>
  <si>
    <t>远期预测</t>
  </si>
  <si>
    <t>新品与旺季假设更新</t>
  </si>
  <si>
    <t>经营团队</t>
  </si>
  <si>
    <t>RF12</t>
  </si>
  <si>
    <t>多版本与假设分析</t>
  </si>
  <si>
    <t>经营预算驾驶舱</t>
  </si>
  <si>
    <t>集团经营总览：目标、收入、毛利、利润与预测偏差，可向区域/产品/渠道穿透</t>
  </si>
  <si>
    <t>销售预算（万元）</t>
  </si>
  <si>
    <t>预算毛利率</t>
  </si>
  <si>
    <t>预算营业利润（万元）</t>
  </si>
  <si>
    <t>滚动营业利润（万元）</t>
  </si>
  <si>
    <t>模型状态</t>
  </si>
  <si>
    <t>月度趋势与经营结构</t>
  </si>
  <si>
    <t>收入目标</t>
  </si>
  <si>
    <t>销售预算</t>
  </si>
  <si>
    <t>差异</t>
  </si>
  <si>
    <t>收入预算</t>
  </si>
  <si>
    <t>销量（件）</t>
  </si>
  <si>
    <t>收入占比</t>
  </si>
  <si>
    <t>预算收入</t>
  </si>
  <si>
    <t>滚动收入</t>
  </si>
  <si>
    <t>流程、权限与预算控制演示</t>
  </si>
  <si>
    <t>同一场景中体现责任分工、逐级审批、任务监控、刚柔性控制和审计日志</t>
  </si>
  <si>
    <t>序号</t>
  </si>
  <si>
    <t>预算任务</t>
  </si>
  <si>
    <t>编制角色</t>
  </si>
  <si>
    <t>查看范围</t>
  </si>
  <si>
    <t>审批角色</t>
  </si>
  <si>
    <t>开始日期</t>
  </si>
  <si>
    <t>截止日期</t>
  </si>
  <si>
    <t>控制规则</t>
  </si>
  <si>
    <t>消息渠道</t>
  </si>
  <si>
    <t>审计点</t>
  </si>
  <si>
    <t>集团目标发布</t>
  </si>
  <si>
    <t>集团预算办</t>
  </si>
  <si>
    <t>集团全部</t>
  </si>
  <si>
    <t>CFO</t>
  </si>
  <si>
    <t>已完成</t>
  </si>
  <si>
    <t>目标版本锁定</t>
  </si>
  <si>
    <t>OA/邮件</t>
  </si>
  <si>
    <t>版本、发布时间</t>
  </si>
  <si>
    <t>区域目标确认</t>
  </si>
  <si>
    <t>区域总经理</t>
  </si>
  <si>
    <t>本区域</t>
  </si>
  <si>
    <t>事业部总裁</t>
  </si>
  <si>
    <t>允许±3%申诉</t>
  </si>
  <si>
    <t>企微</t>
  </si>
  <si>
    <t>提交人、调整痕迹</t>
  </si>
  <si>
    <t>销售预算编制</t>
  </si>
  <si>
    <t>销售经理</t>
  </si>
  <si>
    <t>区域×渠道</t>
  </si>
  <si>
    <t>进行中</t>
  </si>
  <si>
    <t>目标差异红灯</t>
  </si>
  <si>
    <t>钉钉</t>
  </si>
  <si>
    <t>单元格修改记录</t>
  </si>
  <si>
    <t>生产预算编制</t>
  </si>
  <si>
    <t>计划经理</t>
  </si>
  <si>
    <t>产品×工厂</t>
  </si>
  <si>
    <t>供应链总监</t>
  </si>
  <si>
    <t>未开始</t>
  </si>
  <si>
    <t>产销平衡校验</t>
  </si>
  <si>
    <t>OA</t>
  </si>
  <si>
    <t>BOM版本、计算轨迹</t>
  </si>
  <si>
    <t>采购预算编制</t>
  </si>
  <si>
    <t>采购经理</t>
  </si>
  <si>
    <t>部件×供应商</t>
  </si>
  <si>
    <t>采购缓冲≤5%</t>
  </si>
  <si>
    <t>飞书</t>
  </si>
  <si>
    <t>价格标准与例外</t>
  </si>
  <si>
    <t>费用预算编制</t>
  </si>
  <si>
    <t>区域财务BP</t>
  </si>
  <si>
    <t>本区域费用</t>
  </si>
  <si>
    <t>刚性/弹性/累计控制</t>
  </si>
  <si>
    <t>邮件</t>
  </si>
  <si>
    <t>附件、批注、审批意见</t>
  </si>
  <si>
    <t>预算汇总与发布</t>
  </si>
  <si>
    <t>CFO/CEO会签</t>
  </si>
  <si>
    <t>校验全部PASS</t>
  </si>
  <si>
    <t>OA/企微</t>
  </si>
  <si>
    <t>最终版本、会签日志</t>
  </si>
  <si>
    <t>执行控制示例</t>
  </si>
  <si>
    <t>业务场景</t>
  </si>
  <si>
    <t>控制维度</t>
  </si>
  <si>
    <t>预算额</t>
  </si>
  <si>
    <t>模拟申请额</t>
  </si>
  <si>
    <t>执行后占用</t>
  </si>
  <si>
    <t>处理动作</t>
  </si>
  <si>
    <t>华东营销活动</t>
  </si>
  <si>
    <t>组织+科目+项目</t>
  </si>
  <si>
    <t>弹性110%</t>
  </si>
  <si>
    <t>通过</t>
  </si>
  <si>
    <t>记录预警</t>
  </si>
  <si>
    <t>华南门店装修</t>
  </si>
  <si>
    <t>组织+科目+门店</t>
  </si>
  <si>
    <t>刚性100%</t>
  </si>
  <si>
    <t>拦截</t>
  </si>
  <si>
    <t>发起预算调剂</t>
  </si>
  <si>
    <t>全国物流合同</t>
  </si>
  <si>
    <t>组织+科目+供应商</t>
  </si>
  <si>
    <t>累计105%</t>
  </si>
  <si>
    <t>橙色预警</t>
  </si>
  <si>
    <t>咖啡机新品立项</t>
  </si>
  <si>
    <t>组织+产品+项目</t>
  </si>
  <si>
    <t>事前控制</t>
  </si>
  <si>
    <t>重新测算/审批</t>
  </si>
  <si>
    <t>演示场景与产品能力映射</t>
  </si>
  <si>
    <t>依据附件《先胜业财预算产品_功能清单-26.xlsx》提炼；数据与公司均为虚构</t>
  </si>
  <si>
    <t>演示节点</t>
  </si>
  <si>
    <t>业务动作</t>
  </si>
  <si>
    <t>工作表</t>
  </si>
  <si>
    <t>客户价值</t>
  </si>
  <si>
    <t>演示话术</t>
  </si>
  <si>
    <t>来源模块</t>
  </si>
  <si>
    <t>目标测算</t>
  </si>
  <si>
    <t>切换基准/乐观/审慎版本</t>
  </si>
  <si>
    <t>01、02</t>
  </si>
  <si>
    <t>战略目标多版本测算；自动/手工分解</t>
  </si>
  <si>
    <t>统一目标口径，快速模拟边界</t>
  </si>
  <si>
    <t>换一个情景，下游预算与利润同步变化</t>
  </si>
  <si>
    <t>战略目标测算/目标分解</t>
  </si>
  <si>
    <t>多维目标下达</t>
  </si>
  <si>
    <t>集团目标分解至区域×产品</t>
  </si>
  <si>
    <t>单维或多维组合分解；层层汇总</t>
  </si>
  <si>
    <t>责任可落地、口径可追溯</t>
  </si>
  <si>
    <t>既能集团下达，也能区域再次分解</t>
  </si>
  <si>
    <t>预算目标/汇总</t>
  </si>
  <si>
    <t>区域×渠道×产品×月份驱动编制</t>
  </si>
  <si>
    <t>关键驱动、固定比例、标准设定、多版本</t>
  </si>
  <si>
    <t>业务人员按熟悉维度填报</t>
  </si>
  <si>
    <t>销售填销量和价格，系统实时汇总</t>
  </si>
  <si>
    <t>预算编制/版本管理</t>
  </si>
  <si>
    <t>产销协同</t>
  </si>
  <si>
    <t>销量联动库存与生产计划</t>
  </si>
  <si>
    <t>跨模型数据读写与复杂计算</t>
  </si>
  <si>
    <t>减少手工搬数与版本不一致</t>
  </si>
  <si>
    <t>销售一改，生产与库存立即重算</t>
  </si>
  <si>
    <t>模型管理/数据运算</t>
  </si>
  <si>
    <t>BOM展开</t>
  </si>
  <si>
    <t>成品自动展开部件需求与金额</t>
  </si>
  <si>
    <t>04、05</t>
  </si>
  <si>
    <t>维度关联、标准库、计算过程跟踪</t>
  </si>
  <si>
    <t>采购需求有依据、成本可穿透</t>
  </si>
  <si>
    <t>可从损益穿透到部件单耗与单价</t>
  </si>
  <si>
    <t>基础信息/计算过程跟踪</t>
  </si>
  <si>
    <t>费用预算</t>
  </si>
  <si>
    <t>收入比例与固定额混合编制</t>
  </si>
  <si>
    <t>06</t>
  </si>
  <si>
    <t>零基、标准、比例、固定额等多方法</t>
  </si>
  <si>
    <t>不同费用匹配合适方法</t>
  </si>
  <si>
    <t>一个模型同时支持多种预算方法</t>
  </si>
  <si>
    <t>预算编制</t>
  </si>
  <si>
    <t>业财勾稽</t>
  </si>
  <si>
    <t>业务预算自动形成管理损益</t>
  </si>
  <si>
    <t>07</t>
  </si>
  <si>
    <t>业务预算与财务预算有效衔接</t>
  </si>
  <si>
    <t>从业务动作直接看到利润影响</t>
  </si>
  <si>
    <t>销售、成本、费用不是三张孤表</t>
  </si>
  <si>
    <t>预算编制/财务报表</t>
  </si>
  <si>
    <t>实际替换预算并更新未来月份</t>
  </si>
  <si>
    <t>08</t>
  </si>
  <si>
    <t>自定义滚动方式；实际补录；预实差异</t>
  </si>
  <si>
    <t>及时修正全年预期</t>
  </si>
  <si>
    <t>关账后只替换已发生月，其余滚动更新</t>
  </si>
  <si>
    <t>经营看板</t>
  </si>
  <si>
    <t>目标、预算、利润、预测集中展示</t>
  </si>
  <si>
    <t>09</t>
  </si>
  <si>
    <t>主题分析、穿透、图形、排名、红绿灯</t>
  </si>
  <si>
    <t>管理层快速识别偏差与责任单元</t>
  </si>
  <si>
    <t>从集团看到区域、产品和渠道</t>
  </si>
  <si>
    <t>预算分析</t>
  </si>
  <si>
    <t>流程与权限</t>
  </si>
  <si>
    <t>逐级审批、会签、任务监控</t>
  </si>
  <si>
    <t>10</t>
  </si>
  <si>
    <t>可视化流程；表单/维度/单元格权限</t>
  </si>
  <si>
    <t>千人协同仍能职责清晰、数据隔离</t>
  </si>
  <si>
    <t>谁能填、谁能看、谁审批均可配置</t>
  </si>
  <si>
    <t>权限管理/流程管理</t>
  </si>
  <si>
    <t>预算控制</t>
  </si>
  <si>
    <t>刚性、弹性、累计、事前事中事后</t>
  </si>
  <si>
    <t>多维组合控制与多种控制模式</t>
  </si>
  <si>
    <t>预算真正进入业务执行</t>
  </si>
  <si>
    <t>同一费用可按场景选不同管控策略</t>
  </si>
  <si>
    <t>质量与审计</t>
  </si>
  <si>
    <t>提交前校验、变化过程、日志</t>
  </si>
  <si>
    <t>11</t>
  </si>
  <si>
    <t>单元格校验；数据审计；操作日志</t>
  </si>
  <si>
    <t>提升数据可信度与责任追溯</t>
  </si>
  <si>
    <t>系统告诉你哪里错、如何修</t>
  </si>
  <si>
    <t>数据校验/数据审计/日志</t>
  </si>
  <si>
    <t>生态与智能</t>
  </si>
  <si>
    <t>Excel/WPS填报、接口、AI问数</t>
  </si>
  <si>
    <t>全场景</t>
  </si>
  <si>
    <t>Office插件；ERP/BI/OA集成；智能体</t>
  </si>
  <si>
    <t>保护用户习惯并降低集成成本</t>
  </si>
  <si>
    <t>可在Excel填，也可让AI查询分析</t>
  </si>
  <si>
    <t>插件管理/系统集成/AI能力</t>
  </si>
  <si>
    <t>建议收口：先胜业财的价值不只是一套预算表，而是用可配置模型、多维数据、流程权限、控制分析和开放集成，把战略目标转化为可执行、可预测、可追溯的经营闭环。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</si>
</sst>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yyyy\-mm\-dd"/>
    <numFmt numFmtId="177" formatCode="#,##0.0"/>
    <numFmt numFmtId="178" formatCode="0.0%"/>
    <numFmt numFmtId="179" formatCode="#,##0.0;[Red]\(#,##0.0\);\-"/>
  </numFmts>
  <fonts count="21">
    <font>
      <sz val="11"/>
      <name val="Carlito"/>
      <charset val="134"/>
    </font>
    <font>
      <b/>
      <sz val="18"/>
      <color rgb="FFFFFFFF"/>
      <name val="Microsoft YaHei"/>
      <charset val="134"/>
    </font>
    <font>
      <i/>
      <sz val="10"/>
      <color rgb="FF6B7280"/>
      <name val="Microsoft YaHei"/>
      <charset val="134"/>
    </font>
    <font>
      <sz val="11"/>
      <name val="Microsoft YaHei"/>
      <charset val="134"/>
    </font>
    <font>
      <b/>
      <sz val="11"/>
      <color rgb="FFFFFFFF"/>
      <name val="Microsoft YaHei"/>
      <charset val="134"/>
    </font>
    <font>
      <sz val="10"/>
      <color rgb="FF1F2937"/>
      <name val="Microsoft YaHei"/>
      <charset val="134"/>
    </font>
    <font>
      <b/>
      <sz val="13"/>
      <color rgb="FFFFFFFF"/>
      <name val="Microsoft YaHei"/>
      <charset val="134"/>
    </font>
    <font>
      <sz val="11"/>
      <color rgb="FFFFFFFF"/>
      <name val="Carlito"/>
      <charset val="134"/>
    </font>
    <font>
      <b/>
      <sz val="12"/>
      <color rgb="FF6D5CE7"/>
      <name val="Microsoft YaHei"/>
      <charset val="134"/>
    </font>
    <font>
      <b/>
      <sz val="20"/>
      <color rgb="FF1F2937"/>
      <name val="Microsoft YaHei"/>
      <charset val="134"/>
    </font>
    <font>
      <sz val="11"/>
      <name val="宋体"/>
      <family val="3"/>
      <charset val="134"/>
    </font>
    <font>
      <b/>
      <sz val="10"/>
      <color rgb="FF1F2937"/>
      <name val="Microsoft YaHei"/>
      <charset val="134"/>
    </font>
    <font>
      <b/>
      <sz val="11"/>
      <color rgb="FF6D5CE7"/>
      <name val="Microsoft YaHei"/>
      <charset val="134"/>
    </font>
    <font>
      <b/>
      <sz val="11"/>
      <color rgb="FF126044"/>
      <name val="Microsoft YaHei"/>
      <charset val="134"/>
    </font>
    <font>
      <b/>
      <sz val="14"/>
      <color rgb="FFFFFFFF"/>
      <name val="Microsoft YaHei"/>
      <charset val="134"/>
    </font>
    <font>
      <b/>
      <sz val="11"/>
      <color rgb="FF1F2937"/>
      <name val="Microsoft YaHei"/>
      <charset val="134"/>
    </font>
    <font>
      <sz val="11"/>
      <color rgb="FF6B7280"/>
      <name val="Microsoft YaHei"/>
      <charset val="134"/>
    </font>
    <font>
      <b/>
      <sz val="11"/>
      <color rgb="FF8A5A13"/>
      <name val="Microsoft YaHei"/>
      <charset val="134"/>
    </font>
    <font>
      <sz val="10"/>
      <name val="宋体"/>
      <family val="3"/>
      <charset val="134"/>
    </font>
    <font>
      <sz val="11"/>
      <name val="Carlito"/>
      <charset val="134"/>
    </font>
    <font>
      <sz val="9"/>
      <name val="Carlito"/>
      <charset val="134"/>
    </font>
  </fonts>
  <fills count="17">
    <fill>
      <patternFill patternType="none"/>
    </fill>
    <fill>
      <patternFill patternType="gray125"/>
    </fill>
    <fill>
      <patternFill patternType="solid">
        <fgColor rgb="FF172A46"/>
        <bgColor indexed="64"/>
      </patternFill>
    </fill>
    <fill>
      <patternFill patternType="solid">
        <fgColor rgb="FFEEF3FF"/>
        <bgColor indexed="64"/>
      </patternFill>
    </fill>
    <fill>
      <patternFill patternType="solid">
        <fgColor rgb="FF3467EB"/>
        <bgColor indexed="64"/>
      </patternFill>
    </fill>
    <fill>
      <patternFill patternType="solid">
        <fgColor rgb="FF6D5C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2FF"/>
        <bgColor indexed="64"/>
      </patternFill>
    </fill>
    <fill>
      <patternFill patternType="solid">
        <fgColor rgb="FF21B7C4"/>
        <bgColor indexed="64"/>
      </patternFill>
    </fill>
    <fill>
      <patternFill patternType="solid">
        <fgColor rgb="FFF8FAFD"/>
        <bgColor indexed="64"/>
      </patternFill>
    </fill>
    <fill>
      <patternFill patternType="solid">
        <fgColor rgb="FF16A36A"/>
        <bgColor indexed="64"/>
      </patternFill>
    </fill>
    <fill>
      <patternFill patternType="solid">
        <fgColor rgb="FFE89A2D"/>
        <bgColor indexed="64"/>
      </patternFill>
    </fill>
    <fill>
      <patternFill patternType="solid">
        <fgColor rgb="FFE8F1FA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F7F0"/>
        <bgColor indexed="64"/>
      </patternFill>
    </fill>
    <fill>
      <patternFill patternType="solid">
        <fgColor rgb="FFFFF4E5"/>
        <bgColor indexed="64"/>
      </patternFill>
    </fill>
  </fills>
  <borders count="14">
    <border>
      <left/>
      <right/>
      <top/>
      <bottom/>
      <diagonal/>
    </border>
    <border>
      <left style="thin">
        <color rgb="FFD9E1F2"/>
      </left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D9E1F2"/>
      </left>
      <right/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  <border>
      <left/>
      <right/>
      <top/>
      <bottom style="medium">
        <color rgb="FFD9E1F2"/>
      </bottom>
      <diagonal/>
    </border>
    <border>
      <left/>
      <right/>
      <top style="thin">
        <color rgb="FFD9E1F2"/>
      </top>
      <bottom style="medium">
        <color rgb="FFD9E1F2"/>
      </bottom>
      <diagonal/>
    </border>
  </borders>
  <cellStyleXfs count="2">
    <xf numFmtId="0" fontId="0" fillId="0" borderId="0">
      <alignment vertical="center"/>
    </xf>
    <xf numFmtId="0" fontId="19" fillId="0" borderId="0"/>
  </cellStyleXfs>
  <cellXfs count="109">
    <xf numFmtId="0" fontId="0" fillId="0" borderId="0" xfId="0" applyAlignment="1"/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0" borderId="0" xfId="1" applyFont="1"/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7" fillId="6" borderId="0" xfId="1" applyFont="1" applyFill="1"/>
    <xf numFmtId="0" fontId="5" fillId="0" borderId="4" xfId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0" fontId="8" fillId="7" borderId="0" xfId="1" applyFont="1" applyFill="1" applyAlignment="1">
      <alignment vertical="center"/>
    </xf>
    <xf numFmtId="177" fontId="5" fillId="0" borderId="4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3" fillId="0" borderId="0" xfId="1" applyNumberFormat="1" applyFont="1"/>
    <xf numFmtId="179" fontId="5" fillId="0" borderId="4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9" fontId="5" fillId="0" borderId="2" xfId="1" applyNumberFormat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9" fontId="5" fillId="12" borderId="4" xfId="1" applyNumberFormat="1" applyFont="1" applyFill="1" applyBorder="1" applyAlignment="1">
      <alignment vertical="center"/>
    </xf>
    <xf numFmtId="179" fontId="5" fillId="7" borderId="4" xfId="1" applyNumberFormat="1" applyFont="1" applyFill="1" applyBorder="1" applyAlignment="1">
      <alignment vertical="center"/>
    </xf>
    <xf numFmtId="179" fontId="5" fillId="12" borderId="2" xfId="1" applyNumberFormat="1" applyFont="1" applyFill="1" applyBorder="1" applyAlignment="1">
      <alignment vertical="center"/>
    </xf>
    <xf numFmtId="179" fontId="5" fillId="7" borderId="2" xfId="1" applyNumberFormat="1" applyFont="1" applyFill="1" applyBorder="1" applyAlignment="1">
      <alignment vertical="center"/>
    </xf>
    <xf numFmtId="178" fontId="5" fillId="12" borderId="2" xfId="1" applyNumberFormat="1" applyFont="1" applyFill="1" applyBorder="1" applyAlignment="1">
      <alignment vertical="center"/>
    </xf>
    <xf numFmtId="178" fontId="5" fillId="7" borderId="2" xfId="1" applyNumberFormat="1" applyFont="1" applyFill="1" applyBorder="1" applyAlignment="1">
      <alignment vertical="center"/>
    </xf>
    <xf numFmtId="0" fontId="19" fillId="0" borderId="0" xfId="1"/>
    <xf numFmtId="0" fontId="10" fillId="0" borderId="0" xfId="1" applyFont="1"/>
    <xf numFmtId="0" fontId="11" fillId="3" borderId="12" xfId="1" applyFont="1" applyFill="1" applyBorder="1" applyAlignment="1">
      <alignment vertical="center"/>
    </xf>
    <xf numFmtId="179" fontId="11" fillId="3" borderId="12" xfId="1" applyNumberFormat="1" applyFont="1" applyFill="1" applyBorder="1" applyAlignment="1">
      <alignment vertical="center"/>
    </xf>
    <xf numFmtId="179" fontId="5" fillId="3" borderId="2" xfId="1" applyNumberFormat="1" applyFont="1" applyFill="1" applyBorder="1" applyAlignment="1">
      <alignment vertical="center"/>
    </xf>
    <xf numFmtId="0" fontId="11" fillId="3" borderId="13" xfId="1" applyFont="1" applyFill="1" applyBorder="1" applyAlignment="1">
      <alignment vertical="center"/>
    </xf>
    <xf numFmtId="179" fontId="11" fillId="3" borderId="13" xfId="1" applyNumberFormat="1" applyFont="1" applyFill="1" applyBorder="1" applyAlignment="1">
      <alignment vertical="center"/>
    </xf>
    <xf numFmtId="178" fontId="5" fillId="3" borderId="2" xfId="1" applyNumberFormat="1" applyFont="1" applyFill="1" applyBorder="1" applyAlignment="1">
      <alignment vertical="center"/>
    </xf>
    <xf numFmtId="0" fontId="11" fillId="7" borderId="13" xfId="1" applyFont="1" applyFill="1" applyBorder="1" applyAlignment="1">
      <alignment vertical="center"/>
    </xf>
    <xf numFmtId="179" fontId="11" fillId="7" borderId="13" xfId="1" applyNumberFormat="1" applyFont="1" applyFill="1" applyBorder="1" applyAlignment="1">
      <alignment vertical="center"/>
    </xf>
    <xf numFmtId="177" fontId="5" fillId="13" borderId="4" xfId="1" applyNumberFormat="1" applyFont="1" applyFill="1" applyBorder="1" applyAlignment="1">
      <alignment vertical="center"/>
    </xf>
    <xf numFmtId="177" fontId="5" fillId="13" borderId="2" xfId="1" applyNumberFormat="1" applyFont="1" applyFill="1" applyBorder="1" applyAlignment="1">
      <alignment vertical="center"/>
    </xf>
    <xf numFmtId="3" fontId="5" fillId="13" borderId="4" xfId="1" applyNumberFormat="1" applyFont="1" applyFill="1" applyBorder="1" applyAlignment="1">
      <alignment vertical="center"/>
    </xf>
    <xf numFmtId="178" fontId="5" fillId="13" borderId="4" xfId="1" applyNumberFormat="1" applyFont="1" applyFill="1" applyBorder="1" applyAlignment="1">
      <alignment vertical="center"/>
    </xf>
    <xf numFmtId="3" fontId="5" fillId="13" borderId="2" xfId="1" applyNumberFormat="1" applyFont="1" applyFill="1" applyBorder="1" applyAlignment="1">
      <alignment vertical="center"/>
    </xf>
    <xf numFmtId="178" fontId="5" fillId="13" borderId="2" xfId="1" applyNumberFormat="1" applyFont="1" applyFill="1" applyBorder="1" applyAlignment="1">
      <alignment vertical="center"/>
    </xf>
    <xf numFmtId="2" fontId="5" fillId="0" borderId="4" xfId="1" applyNumberFormat="1" applyFont="1" applyBorder="1" applyAlignment="1">
      <alignment vertical="center"/>
    </xf>
    <xf numFmtId="0" fontId="5" fillId="13" borderId="4" xfId="1" applyFont="1" applyFill="1" applyBorder="1" applyAlignment="1">
      <alignment vertical="center"/>
    </xf>
    <xf numFmtId="2" fontId="5" fillId="0" borderId="2" xfId="1" applyNumberFormat="1" applyFont="1" applyBorder="1" applyAlignment="1">
      <alignment vertical="center"/>
    </xf>
    <xf numFmtId="0" fontId="5" fillId="13" borderId="2" xfId="1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4" borderId="4" xfId="1" applyFont="1" applyFill="1" applyBorder="1" applyAlignment="1">
      <alignment horizontal="center" vertical="center" wrapText="1"/>
    </xf>
    <xf numFmtId="179" fontId="5" fillId="13" borderId="4" xfId="1" applyNumberFormat="1" applyFont="1" applyFill="1" applyBorder="1" applyAlignment="1">
      <alignment vertical="center"/>
    </xf>
    <xf numFmtId="179" fontId="5" fillId="13" borderId="2" xfId="1" applyNumberFormat="1" applyFont="1" applyFill="1" applyBorder="1" applyAlignment="1">
      <alignment vertical="center"/>
    </xf>
    <xf numFmtId="0" fontId="5" fillId="14" borderId="4" xfId="1" applyFont="1" applyFill="1" applyBorder="1" applyAlignment="1">
      <alignment vertical="center"/>
    </xf>
    <xf numFmtId="9" fontId="5" fillId="0" borderId="4" xfId="1" applyNumberFormat="1" applyFont="1" applyBorder="1" applyAlignment="1">
      <alignment vertical="center"/>
    </xf>
    <xf numFmtId="178" fontId="5" fillId="14" borderId="4" xfId="1" applyNumberFormat="1" applyFont="1" applyFill="1" applyBorder="1" applyAlignment="1">
      <alignment vertical="center"/>
    </xf>
    <xf numFmtId="0" fontId="5" fillId="14" borderId="2" xfId="1" applyFont="1" applyFill="1" applyBorder="1" applyAlignment="1">
      <alignment vertical="center"/>
    </xf>
    <xf numFmtId="9" fontId="5" fillId="0" borderId="2" xfId="1" applyNumberFormat="1" applyFont="1" applyBorder="1" applyAlignment="1">
      <alignment vertical="center"/>
    </xf>
    <xf numFmtId="178" fontId="5" fillId="14" borderId="2" xfId="1" applyNumberFormat="1" applyFont="1" applyFill="1" applyBorder="1" applyAlignment="1">
      <alignment vertical="center"/>
    </xf>
    <xf numFmtId="0" fontId="14" fillId="8" borderId="0" xfId="1" applyFont="1" applyFill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9" borderId="0" xfId="1" applyFont="1" applyFill="1" applyAlignment="1">
      <alignment vertical="center" wrapText="1"/>
    </xf>
    <xf numFmtId="0" fontId="17" fillId="16" borderId="0" xfId="1" applyFont="1" applyFill="1" applyAlignment="1">
      <alignment vertical="center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8" fillId="7" borderId="0" xfId="1" applyFont="1" applyFill="1" applyAlignment="1">
      <alignment vertical="center"/>
    </xf>
    <xf numFmtId="0" fontId="13" fillId="15" borderId="0" xfId="1" applyFont="1" applyFill="1" applyAlignment="1">
      <alignment vertical="center" wrapText="1"/>
    </xf>
    <xf numFmtId="0" fontId="12" fillId="7" borderId="0" xfId="1" applyFont="1" applyFill="1"/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5" borderId="0" xfId="1" applyFont="1" applyFill="1"/>
    <xf numFmtId="177" fontId="4" fillId="10" borderId="0" xfId="1" applyNumberFormat="1" applyFont="1" applyFill="1" applyAlignment="1">
      <alignment horizontal="center" vertical="center"/>
    </xf>
    <xf numFmtId="177" fontId="4" fillId="11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77" fontId="9" fillId="9" borderId="5" xfId="1" applyNumberFormat="1" applyFont="1" applyFill="1" applyBorder="1" applyAlignment="1">
      <alignment horizontal="center" vertical="center"/>
    </xf>
    <xf numFmtId="177" fontId="9" fillId="9" borderId="6" xfId="1" applyNumberFormat="1" applyFont="1" applyFill="1" applyBorder="1" applyAlignment="1">
      <alignment horizontal="center" vertical="center"/>
    </xf>
    <xf numFmtId="177" fontId="9" fillId="9" borderId="7" xfId="1" applyNumberFormat="1" applyFont="1" applyFill="1" applyBorder="1" applyAlignment="1">
      <alignment horizontal="center" vertical="center"/>
    </xf>
    <xf numFmtId="177" fontId="9" fillId="9" borderId="8" xfId="1" applyNumberFormat="1" applyFont="1" applyFill="1" applyBorder="1" applyAlignment="1">
      <alignment horizontal="center" vertical="center"/>
    </xf>
    <xf numFmtId="177" fontId="9" fillId="9" borderId="0" xfId="1" applyNumberFormat="1" applyFont="1" applyFill="1" applyAlignment="1">
      <alignment horizontal="center" vertical="center"/>
    </xf>
    <xf numFmtId="177" fontId="9" fillId="9" borderId="9" xfId="1" applyNumberFormat="1" applyFont="1" applyFill="1" applyBorder="1" applyAlignment="1">
      <alignment horizontal="center" vertical="center"/>
    </xf>
    <xf numFmtId="177" fontId="9" fillId="9" borderId="10" xfId="1" applyNumberFormat="1" applyFont="1" applyFill="1" applyBorder="1" applyAlignment="1">
      <alignment horizontal="center" vertical="center"/>
    </xf>
    <xf numFmtId="177" fontId="9" fillId="9" borderId="4" xfId="1" applyNumberFormat="1" applyFont="1" applyFill="1" applyBorder="1" applyAlignment="1">
      <alignment horizontal="center" vertical="center"/>
    </xf>
    <xf numFmtId="177" fontId="9" fillId="9" borderId="11" xfId="1" applyNumberFormat="1" applyFont="1" applyFill="1" applyBorder="1" applyAlignment="1">
      <alignment horizontal="center" vertical="center"/>
    </xf>
    <xf numFmtId="178" fontId="9" fillId="9" borderId="5" xfId="1" applyNumberFormat="1" applyFont="1" applyFill="1" applyBorder="1" applyAlignment="1">
      <alignment horizontal="center" vertical="center"/>
    </xf>
    <xf numFmtId="178" fontId="9" fillId="9" borderId="6" xfId="1" applyNumberFormat="1" applyFont="1" applyFill="1" applyBorder="1" applyAlignment="1">
      <alignment horizontal="center" vertical="center"/>
    </xf>
    <xf numFmtId="178" fontId="9" fillId="9" borderId="7" xfId="1" applyNumberFormat="1" applyFont="1" applyFill="1" applyBorder="1" applyAlignment="1">
      <alignment horizontal="center" vertical="center"/>
    </xf>
    <xf numFmtId="178" fontId="9" fillId="9" borderId="8" xfId="1" applyNumberFormat="1" applyFont="1" applyFill="1" applyBorder="1" applyAlignment="1">
      <alignment horizontal="center" vertical="center"/>
    </xf>
    <xf numFmtId="178" fontId="9" fillId="9" borderId="0" xfId="1" applyNumberFormat="1" applyFont="1" applyFill="1" applyAlignment="1">
      <alignment horizontal="center" vertical="center"/>
    </xf>
    <xf numFmtId="178" fontId="9" fillId="9" borderId="9" xfId="1" applyNumberFormat="1" applyFont="1" applyFill="1" applyBorder="1" applyAlignment="1">
      <alignment horizontal="center" vertical="center"/>
    </xf>
    <xf numFmtId="178" fontId="9" fillId="9" borderId="10" xfId="1" applyNumberFormat="1" applyFont="1" applyFill="1" applyBorder="1" applyAlignment="1">
      <alignment horizontal="center" vertical="center"/>
    </xf>
    <xf numFmtId="178" fontId="9" fillId="9" borderId="4" xfId="1" applyNumberFormat="1" applyFont="1" applyFill="1" applyBorder="1" applyAlignment="1">
      <alignment horizontal="center" vertical="center"/>
    </xf>
    <xf numFmtId="178" fontId="9" fillId="9" borderId="11" xfId="1" applyNumberFormat="1" applyFont="1" applyFill="1" applyBorder="1" applyAlignment="1">
      <alignment horizontal="center" vertical="center"/>
    </xf>
    <xf numFmtId="0" fontId="9" fillId="9" borderId="5" xfId="1" applyFont="1" applyFill="1" applyBorder="1" applyAlignment="1">
      <alignment horizontal="center" vertical="center"/>
    </xf>
    <xf numFmtId="0" fontId="9" fillId="9" borderId="6" xfId="1" applyFont="1" applyFill="1" applyBorder="1" applyAlignment="1">
      <alignment horizontal="center" vertical="center"/>
    </xf>
    <xf numFmtId="0" fontId="9" fillId="9" borderId="7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9" borderId="0" xfId="1" applyFont="1" applyFill="1" applyAlignment="1">
      <alignment horizontal="center" vertical="center"/>
    </xf>
    <xf numFmtId="0" fontId="9" fillId="9" borderId="9" xfId="1" applyFont="1" applyFill="1" applyBorder="1" applyAlignment="1">
      <alignment horizontal="center" vertical="center"/>
    </xf>
    <xf numFmtId="0" fontId="9" fillId="9" borderId="10" xfId="1" applyFont="1" applyFill="1" applyBorder="1" applyAlignment="1">
      <alignment horizontal="center" vertical="center"/>
    </xf>
    <xf numFmtId="0" fontId="9" fillId="9" borderId="4" xfId="1" applyFont="1" applyFill="1" applyBorder="1" applyAlignment="1">
      <alignment horizontal="center" vertical="center"/>
    </xf>
    <xf numFmtId="0" fontId="9" fillId="9" borderId="11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4" fillId="8" borderId="0" xfId="1" applyFont="1" applyFill="1" applyAlignment="1">
      <alignment horizontal="center" vertical="center"/>
    </xf>
    <xf numFmtId="0" fontId="6" fillId="5" borderId="0" xfId="1" applyFont="1" applyFill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25">
    <dxf>
      <font>
        <b/>
        <color rgb="FFD84A4A"/>
      </font>
      <fill>
        <patternFill patternType="solid">
          <bgColor rgb="FFFDECEC"/>
        </patternFill>
      </fill>
    </dxf>
    <dxf>
      <font>
        <b/>
        <color rgb="FFE89A2D"/>
      </font>
      <fill>
        <patternFill patternType="solid">
          <bgColor rgb="FFFFF4E5"/>
        </patternFill>
      </fill>
    </dxf>
    <dxf>
      <font>
        <b/>
        <color rgb="FF16A36A"/>
      </font>
      <fill>
        <patternFill patternType="solid">
          <bgColor rgb="FFE8F7F0"/>
        </patternFill>
      </fill>
    </dxf>
    <dxf>
      <font>
        <b/>
        <color rgb="FFD84A4A"/>
      </font>
      <fill>
        <patternFill patternType="solid">
          <bgColor rgb="FFFDECEC"/>
        </patternFill>
      </fill>
    </dxf>
    <dxf>
      <font>
        <b/>
        <color rgb="FF16A36A"/>
      </font>
      <fill>
        <patternFill patternType="solid">
          <bgColor rgb="FFE8F7F0"/>
        </patternFill>
      </fill>
    </dxf>
    <dxf>
      <font>
        <b/>
        <color rgb="FFD84A4A"/>
      </font>
      <fill>
        <patternFill patternType="solid">
          <bgColor rgb="FFFDECEC"/>
        </patternFill>
      </fill>
    </dxf>
    <dxf>
      <font>
        <b/>
        <color rgb="FFE89A2D"/>
      </font>
      <fill>
        <patternFill patternType="solid">
          <bgColor rgb="FFFFF4E5"/>
        </patternFill>
      </fill>
    </dxf>
    <dxf>
      <font>
        <b/>
        <color rgb="FF16A36A"/>
      </font>
      <fill>
        <patternFill patternType="solid">
          <bgColor rgb="FFE8F7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月度收入：预算 </a:t>
            </a:r>
            <a:r>
              <a:rPr lang="en-US"/>
              <a:t>vs </a:t>
            </a:r>
            <a:r>
              <a:rPr lang="zh-CN" altLang="en-US"/>
              <a:t>滚动预测（万元）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预算收入</c:v>
          </c:tx>
          <c:marker>
            <c:symbol val="none"/>
          </c:marker>
          <c:cat>
            <c:strRef>
              <c:f>'09_经营看板'!$L$36:$L$47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'09_经营看板'!$M$36:$M$47</c:f>
              <c:numCache>
                <c:formatCode>#,##0.0</c:formatCode>
                <c:ptCount val="12"/>
                <c:pt idx="0">
                  <c:v>840</c:v>
                </c:pt>
                <c:pt idx="1">
                  <c:v>720</c:v>
                </c:pt>
                <c:pt idx="2">
                  <c:v>840</c:v>
                </c:pt>
                <c:pt idx="3">
                  <c:v>900</c:v>
                </c:pt>
                <c:pt idx="4">
                  <c:v>900</c:v>
                </c:pt>
                <c:pt idx="5">
                  <c:v>960</c:v>
                </c:pt>
                <c:pt idx="6">
                  <c:v>960</c:v>
                </c:pt>
                <c:pt idx="7">
                  <c:v>960</c:v>
                </c:pt>
                <c:pt idx="8">
                  <c:v>1020</c:v>
                </c:pt>
                <c:pt idx="9">
                  <c:v>1080</c:v>
                </c:pt>
                <c:pt idx="10">
                  <c:v>1320</c:v>
                </c:pt>
                <c:pt idx="11">
                  <c:v>1500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52-45C7-B107-7A2C46E61166}"/>
            </c:ext>
          </c:extLst>
        </c:ser>
        <c:ser>
          <c:idx val="1"/>
          <c:order val="1"/>
          <c:tx>
            <c:v>滚动收入</c:v>
          </c:tx>
          <c:marker>
            <c:symbol val="none"/>
          </c:marker>
          <c:cat>
            <c:strRef>
              <c:f>'09_经营看板'!$L$36:$L$47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'09_经营看板'!$N$36:$N$47</c:f>
              <c:numCache>
                <c:formatCode>#,##0.0</c:formatCode>
                <c:ptCount val="12"/>
                <c:pt idx="0">
                  <c:v>789.6</c:v>
                </c:pt>
                <c:pt idx="1">
                  <c:v>734.4</c:v>
                </c:pt>
                <c:pt idx="2">
                  <c:v>814.8</c:v>
                </c:pt>
                <c:pt idx="3">
                  <c:v>945</c:v>
                </c:pt>
                <c:pt idx="4">
                  <c:v>909</c:v>
                </c:pt>
                <c:pt idx="5">
                  <c:v>979.2</c:v>
                </c:pt>
                <c:pt idx="6">
                  <c:v>988.8</c:v>
                </c:pt>
                <c:pt idx="7">
                  <c:v>988.8</c:v>
                </c:pt>
                <c:pt idx="8">
                  <c:v>1060.8</c:v>
                </c:pt>
                <c:pt idx="9">
                  <c:v>1123.2</c:v>
                </c:pt>
                <c:pt idx="10">
                  <c:v>1386</c:v>
                </c:pt>
                <c:pt idx="11">
                  <c:v>1590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52-45C7-B107-7A2C46E61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675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#,##0.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0f250be-c569-4e42-87b3-921ad5aceea1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产品收入结构（万元）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收入预算</c:v>
          </c:tx>
          <c:invertIfNegative val="0"/>
          <c:cat>
            <c:strRef>
              <c:f>'09_经营看板'!$G$36:$G$38</c:f>
              <c:strCache>
                <c:ptCount val="3"/>
                <c:pt idx="0">
                  <c:v>智享破壁机</c:v>
                </c:pt>
                <c:pt idx="1">
                  <c:v>轻享空气炸锅</c:v>
                </c:pt>
                <c:pt idx="2">
                  <c:v>鲜萃咖啡机</c:v>
                </c:pt>
              </c:strCache>
            </c:strRef>
          </c:cat>
          <c:val>
            <c:numRef>
              <c:f>'09_经营看板'!$H$36:$H$38</c:f>
              <c:numCache>
                <c:formatCode>#,##0.0</c:formatCode>
                <c:ptCount val="3"/>
                <c:pt idx="0">
                  <c:v>4800</c:v>
                </c:pt>
                <c:pt idx="1">
                  <c:v>4200</c:v>
                </c:pt>
                <c:pt idx="2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C-4B70-9E94-CCC510A31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  <a:round/>
            </a:ln>
          </c:spPr>
        </c:majorGridlines>
        <c:numFmt formatCode="#,##0.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50112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b22bee0-834b-4260-94bd-47cf6ecc6904}"/>
      </c:ext>
    </c:extLst>
  </c:chart>
  <c:spPr>
    <a:ln w="9525">
      <a:solidFill>
        <a:srgbClr val="D9D9D9"/>
      </a:solidFill>
      <a:prstDash val="solid"/>
      <a:round/>
    </a:ln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16</xdr:row>
      <xdr:rowOff>0</xdr:rowOff>
    </xdr:from>
    <xdr:to>
      <xdr:col>16</xdr:col>
      <xdr:colOff>0</xdr:colOff>
      <xdr:row>32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rgetDecomp" displayName="TargetDecomp" ref="A4:J16" totalsRowShown="0">
  <tableColumns count="10">
    <tableColumn id="1" xr3:uid="{00000000-0010-0000-0000-000001000000}" name="区域编码"/>
    <tableColumn id="2" xr3:uid="{00000000-0010-0000-0000-000002000000}" name="区域"/>
    <tableColumn id="3" xr3:uid="{00000000-0010-0000-0000-000003000000}" name="产品编码"/>
    <tableColumn id="4" xr3:uid="{00000000-0010-0000-0000-000004000000}" name="产品"/>
    <tableColumn id="5" xr3:uid="{00000000-0010-0000-0000-000005000000}" name="区域权重"/>
    <tableColumn id="6" xr3:uid="{00000000-0010-0000-0000-000006000000}" name="产品结构"/>
    <tableColumn id="7" xr3:uid="{00000000-0010-0000-0000-000007000000}" name="年度收入目标（万元）">
      <calculatedColumnFormula>'01_主数据假设'!$B$7*'01_主数据假设'!$B$8*E5*F5</calculatedColumnFormula>
    </tableColumn>
    <tableColumn id="8" xr3:uid="{00000000-0010-0000-0000-000008000000}" name="目标毛利率">
      <calculatedColumnFormula>'01_主数据假设'!$B$9</calculatedColumnFormula>
    </tableColumn>
    <tableColumn id="9" xr3:uid="{00000000-0010-0000-0000-000009000000}" name="销售上报（万元）">
      <calculatedColumnFormula>ROUND(SUMIFS('03_销售预算'!$U$5:$U$52,'03_销售预算'!$A$5:$A$52,A5,'03_销售预算'!$C$5:$C$52,C5),1)</calculatedColumnFormula>
    </tableColumn>
    <tableColumn id="10" xr3:uid="{00000000-0010-0000-0000-00000A000000}" name="差异（万元）">
      <calculatedColumnFormula>ROUND(I5-G5,1)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alesBudget" displayName="SalesBudget" ref="A4:W52" totalsRowShown="0">
  <tableColumns count="23">
    <tableColumn id="1" xr3:uid="{00000000-0010-0000-0100-000001000000}" name="区域编码"/>
    <tableColumn id="2" xr3:uid="{00000000-0010-0000-0100-000002000000}" name="区域"/>
    <tableColumn id="3" xr3:uid="{00000000-0010-0000-0100-000003000000}" name="产品编码"/>
    <tableColumn id="4" xr3:uid="{00000000-0010-0000-0100-000004000000}" name="产品"/>
    <tableColumn id="5" xr3:uid="{00000000-0010-0000-0100-000005000000}" name="渠道"/>
    <tableColumn id="6" xr3:uid="{00000000-0010-0000-0100-000006000000}" name="净价（元）">
      <calculatedColumnFormula>SUMIFS('01_主数据假设'!$K$6:$K$8,'01_主数据假设'!$H$6:$H$8,C5)*SUMIFS('01_主数据假设'!$K$12:$K$15,'01_主数据假设'!$I$12:$I$15,E5)</calculatedColumnFormula>
    </tableColumn>
    <tableColumn id="7" xr3:uid="{00000000-0010-0000-0100-000007000000}" name="标准成本（元）">
      <calculatedColumnFormula>SUMIFS('01_主数据假设'!$O$6:$O$8,'01_主数据假设'!$H$6:$H$8,C5)</calculatedColumnFormula>
    </tableColumn>
    <tableColumn id="8" xr3:uid="{00000000-0010-0000-0100-000008000000}" name="1月">
      <calculatedColumnFormula>SUMIFS('02_目标分解'!$G$5:$G$16,'02_目标分解'!$A$5:$A$16,A5,'02_目标分解'!$C$5:$C$16,C5)*10000*0.15*'01_主数据假设'!B$21/F5</calculatedColumnFormula>
    </tableColumn>
    <tableColumn id="9" xr3:uid="{00000000-0010-0000-0100-000009000000}" name="2月">
      <calculatedColumnFormula>SUMIFS('02_目标分解'!$G$5:$G$16,'02_目标分解'!$A$5:$A$16,A5,'02_目标分解'!$C$5:$C$16,C5)*10000*0.15*'01_主数据假设'!C$21/F5</calculatedColumnFormula>
    </tableColumn>
    <tableColumn id="10" xr3:uid="{00000000-0010-0000-0100-00000A000000}" name="3月">
      <calculatedColumnFormula>SUMIFS('02_目标分解'!$G$5:$G$16,'02_目标分解'!$A$5:$A$16,A5,'02_目标分解'!$C$5:$C$16,C5)*10000*0.15*'01_主数据假设'!D$21/F5</calculatedColumnFormula>
    </tableColumn>
    <tableColumn id="11" xr3:uid="{00000000-0010-0000-0100-00000B000000}" name="4月">
      <calculatedColumnFormula>SUMIFS('02_目标分解'!$G$5:$G$16,'02_目标分解'!$A$5:$A$16,A5,'02_目标分解'!$C$5:$C$16,C5)*10000*0.15*'01_主数据假设'!E$21/F5</calculatedColumnFormula>
    </tableColumn>
    <tableColumn id="12" xr3:uid="{00000000-0010-0000-0100-00000C000000}" name="5月">
      <calculatedColumnFormula>SUMIFS('02_目标分解'!$G$5:$G$16,'02_目标分解'!$A$5:$A$16,A5,'02_目标分解'!$C$5:$C$16,C5)*10000*0.15*'01_主数据假设'!F$21/F5</calculatedColumnFormula>
    </tableColumn>
    <tableColumn id="13" xr3:uid="{00000000-0010-0000-0100-00000D000000}" name="6月">
      <calculatedColumnFormula>SUMIFS('02_目标分解'!$G$5:$G$16,'02_目标分解'!$A$5:$A$16,A5,'02_目标分解'!$C$5:$C$16,C5)*10000*0.15*'01_主数据假设'!G$21/F5</calculatedColumnFormula>
    </tableColumn>
    <tableColumn id="14" xr3:uid="{00000000-0010-0000-0100-00000E000000}" name="7月">
      <calculatedColumnFormula>SUMIFS('02_目标分解'!$G$5:$G$16,'02_目标分解'!$A$5:$A$16,A5,'02_目标分解'!$C$5:$C$16,C5)*10000*0.15*'01_主数据假设'!H$21/F5</calculatedColumnFormula>
    </tableColumn>
    <tableColumn id="15" xr3:uid="{00000000-0010-0000-0100-00000F000000}" name="8月">
      <calculatedColumnFormula>SUMIFS('02_目标分解'!$G$5:$G$16,'02_目标分解'!$A$5:$A$16,A5,'02_目标分解'!$C$5:$C$16,C5)*10000*0.15*'01_主数据假设'!I$21/F5</calculatedColumnFormula>
    </tableColumn>
    <tableColumn id="16" xr3:uid="{00000000-0010-0000-0100-000010000000}" name="9月">
      <calculatedColumnFormula>SUMIFS('02_目标分解'!$G$5:$G$16,'02_目标分解'!$A$5:$A$16,A5,'02_目标分解'!$C$5:$C$16,C5)*10000*0.15*'01_主数据假设'!J$21/F5</calculatedColumnFormula>
    </tableColumn>
    <tableColumn id="17" xr3:uid="{00000000-0010-0000-0100-000011000000}" name="10月">
      <calculatedColumnFormula>SUMIFS('02_目标分解'!$G$5:$G$16,'02_目标分解'!$A$5:$A$16,A5,'02_目标分解'!$C$5:$C$16,C5)*10000*0.15*'01_主数据假设'!K$21/F5</calculatedColumnFormula>
    </tableColumn>
    <tableColumn id="18" xr3:uid="{00000000-0010-0000-0100-000012000000}" name="11月">
      <calculatedColumnFormula>SUMIFS('02_目标分解'!$G$5:$G$16,'02_目标分解'!$A$5:$A$16,A5,'02_目标分解'!$C$5:$C$16,C5)*10000*0.15*'01_主数据假设'!L$21/F5</calculatedColumnFormula>
    </tableColumn>
    <tableColumn id="19" xr3:uid="{00000000-0010-0000-0100-000013000000}" name="12月">
      <calculatedColumnFormula>SUMIFS('02_目标分解'!$G$5:$G$16,'02_目标分解'!$A$5:$A$16,A5,'02_目标分解'!$C$5:$C$16,C5)*10000*0.15*'01_主数据假设'!M$21/F5</calculatedColumnFormula>
    </tableColumn>
    <tableColumn id="20" xr3:uid="{00000000-0010-0000-0100-000014000000}" name="全年销量（件）">
      <calculatedColumnFormula>SUM(H5:S5)</calculatedColumnFormula>
    </tableColumn>
    <tableColumn id="21" xr3:uid="{00000000-0010-0000-0100-000015000000}" name="全年收入（万元）">
      <calculatedColumnFormula>T5*F5/10000</calculatedColumnFormula>
    </tableColumn>
    <tableColumn id="22" xr3:uid="{00000000-0010-0000-0100-000016000000}" name="目标收入（万元）">
      <calculatedColumnFormula>SUMIFS('02_目标分解'!$G$5:$G$16,'02_目标分解'!$A$5:$A$16,A5,'02_目标分解'!$C$5:$C$16,C5)*0.15</calculatedColumnFormula>
    </tableColumn>
    <tableColumn id="23" xr3:uid="{00000000-0010-0000-0100-000017000000}" name="差异（万元）">
      <calculatedColumnFormula>ROUND(U5-V5,1)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ionPlan" displayName="ProductionPlan" ref="A5:G41" totalsRowShown="0">
  <tableColumns count="7">
    <tableColumn id="1" xr3:uid="{00000000-0010-0000-0200-000001000000}" name="产品编码"/>
    <tableColumn id="2" xr3:uid="{00000000-0010-0000-0200-000002000000}" name="产品"/>
    <tableColumn id="3" xr3:uid="{00000000-0010-0000-0200-000003000000}" name="月份"/>
    <tableColumn id="4" xr3:uid="{00000000-0010-0000-0200-000004000000}" name="销售需求（件）">
      <calculatedColumnFormula>SUMIFS('03_销售预算'!$S$5:$S$52,'03_销售预算'!$C$5:$C$52,A6)</calculatedColumnFormula>
    </tableColumn>
    <tableColumn id="5" xr3:uid="{00000000-0010-0000-0200-000005000000}" name="期初库存（件）">
      <calculatedColumnFormula>F5</calculatedColumnFormula>
    </tableColumn>
    <tableColumn id="6" xr3:uid="{00000000-0010-0000-0200-000006000000}" name="目标期末库存（件）">
      <calculatedColumnFormula>D6*0.1</calculatedColumnFormula>
    </tableColumn>
    <tableColumn id="7" xr3:uid="{00000000-0010-0000-0200-000007000000}" name="计划生产（件）">
      <calculatedColumnFormula>D6+F6-E6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BomExplosion" displayName="BomExplosion" ref="A45:J201" totalsRowShown="0">
  <tableColumns count="10">
    <tableColumn id="1" xr3:uid="{00000000-0010-0000-0300-000001000000}" name="月份"/>
    <tableColumn id="2" xr3:uid="{00000000-0010-0000-0300-000002000000}" name="产品编码"/>
    <tableColumn id="3" xr3:uid="{00000000-0010-0000-0300-000003000000}" name="产品"/>
    <tableColumn id="4" xr3:uid="{00000000-0010-0000-0300-000004000000}" name="部件编码"/>
    <tableColumn id="5" xr3:uid="{00000000-0010-0000-0300-000005000000}" name="部件名称"/>
    <tableColumn id="6" xr3:uid="{00000000-0010-0000-0300-000006000000}" name="单耗"/>
    <tableColumn id="7" xr3:uid="{00000000-0010-0000-0300-000007000000}" name="损耗率"/>
    <tableColumn id="8" xr3:uid="{00000000-0010-0000-0300-000008000000}" name="净需求量">
      <calculatedColumnFormula>SUMIFS($G$6:$G$41,$A$6:$A$41,B46,$C$6:$C$41,A46)*F46*(1+G46)</calculatedColumnFormula>
    </tableColumn>
    <tableColumn id="9" xr3:uid="{00000000-0010-0000-0300-000009000000}" name="标准单价（元）"/>
    <tableColumn id="10" xr3:uid="{00000000-0010-0000-0300-00000A000000}" name="物料金额（万元）">
      <calculatedColumnFormula>H46*I46/10000</calculatedColumnFormula>
    </tableColumn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rocurementBudget" displayName="ProcurementBudget" ref="A4:H100" totalsRowShown="0">
  <tableColumns count="8">
    <tableColumn id="1" xr3:uid="{00000000-0010-0000-0400-000001000000}" name="月份"/>
    <tableColumn id="2" xr3:uid="{00000000-0010-0000-0400-000002000000}" name="部件编码"/>
    <tableColumn id="3" xr3:uid="{00000000-0010-0000-0400-000003000000}" name="部件名称"/>
    <tableColumn id="4" xr3:uid="{00000000-0010-0000-0400-000004000000}" name="供应商"/>
    <tableColumn id="5" xr3:uid="{00000000-0010-0000-0400-000005000000}" name="净需求量">
      <calculatedColumnFormula>SUMIFS('04_BOM生产'!$H$46:$H$201,'04_BOM生产'!$A$46:$A$201,A5,'04_BOM生产'!$D$46:$D$201,B5)</calculatedColumnFormula>
    </tableColumn>
    <tableColumn id="6" xr3:uid="{00000000-0010-0000-0400-000006000000}" name="采购缓冲率"/>
    <tableColumn id="7" xr3:uid="{00000000-0010-0000-0400-000007000000}" name="计划采购量">
      <calculatedColumnFormula>E5*(1+F5)</calculatedColumnFormula>
    </tableColumn>
    <tableColumn id="8" xr3:uid="{00000000-0010-0000-0400-000008000000}" name="采购金额（万元）">
      <calculatedColumnFormula>G5*SUMIFS('01_主数据假设'!$J$26:$J$33,'01_主数据假设'!$H$26:$H$33,B5)/10000</calculatedColumnFormula>
    </tableColumn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ExpenseBudget" displayName="ExpenseBudget" ref="A4:Q20" totalsRowShown="0">
  <tableColumns count="17">
    <tableColumn id="1" xr3:uid="{00000000-0010-0000-0500-000001000000}" name="区域编码"/>
    <tableColumn id="2" xr3:uid="{00000000-0010-0000-0500-000002000000}" name="区域"/>
    <tableColumn id="3" xr3:uid="{00000000-0010-0000-0500-000003000000}" name="费用类别"/>
    <tableColumn id="4" xr3:uid="{00000000-0010-0000-0500-000004000000}" name="预算方法"/>
    <tableColumn id="5" xr3:uid="{00000000-0010-0000-0500-000005000000}" name="1月">
      <calculatedColumnFormula>'01_主数据假设'!$C$29</calculatedColumnFormula>
    </tableColumn>
    <tableColumn id="6" xr3:uid="{00000000-0010-0000-0500-000006000000}" name="2月">
      <calculatedColumnFormula>'01_主数据假设'!$C$29</calculatedColumnFormula>
    </tableColumn>
    <tableColumn id="7" xr3:uid="{00000000-0010-0000-0500-000007000000}" name="3月">
      <calculatedColumnFormula>'01_主数据假设'!$C$29</calculatedColumnFormula>
    </tableColumn>
    <tableColumn id="8" xr3:uid="{00000000-0010-0000-0500-000008000000}" name="4月">
      <calculatedColumnFormula>'01_主数据假设'!$C$29</calculatedColumnFormula>
    </tableColumn>
    <tableColumn id="9" xr3:uid="{00000000-0010-0000-0500-000009000000}" name="5月">
      <calculatedColumnFormula>'01_主数据假设'!$C$29</calculatedColumnFormula>
    </tableColumn>
    <tableColumn id="10" xr3:uid="{00000000-0010-0000-0500-00000A000000}" name="6月">
      <calculatedColumnFormula>'01_主数据假设'!$C$29</calculatedColumnFormula>
    </tableColumn>
    <tableColumn id="11" xr3:uid="{00000000-0010-0000-0500-00000B000000}" name="7月">
      <calculatedColumnFormula>'01_主数据假设'!$C$29</calculatedColumnFormula>
    </tableColumn>
    <tableColumn id="12" xr3:uid="{00000000-0010-0000-0500-00000C000000}" name="8月">
      <calculatedColumnFormula>'01_主数据假设'!$C$29</calculatedColumnFormula>
    </tableColumn>
    <tableColumn id="13" xr3:uid="{00000000-0010-0000-0500-00000D000000}" name="9月">
      <calculatedColumnFormula>'01_主数据假设'!$C$29</calculatedColumnFormula>
    </tableColumn>
    <tableColumn id="14" xr3:uid="{00000000-0010-0000-0500-00000E000000}" name="10月">
      <calculatedColumnFormula>'01_主数据假设'!$C$29</calculatedColumnFormula>
    </tableColumn>
    <tableColumn id="15" xr3:uid="{00000000-0010-0000-0500-00000F000000}" name="11月">
      <calculatedColumnFormula>'01_主数据假设'!$C$29</calculatedColumnFormula>
    </tableColumn>
    <tableColumn id="16" xr3:uid="{00000000-0010-0000-0500-000010000000}" name="12月">
      <calculatedColumnFormula>'01_主数据假设'!$C$29</calculatedColumnFormula>
    </tableColumn>
    <tableColumn id="17" xr3:uid="{00000000-0010-0000-0500-000011000000}" name="全年预算（万元）">
      <calculatedColumnFormula>SUM(E5:P5)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WorkflowControl" displayName="WorkflowControl" ref="A4:K11" totalsRowShown="0">
  <tableColumns count="11">
    <tableColumn id="1" xr3:uid="{00000000-0010-0000-0600-000001000000}" name="序号"/>
    <tableColumn id="2" xr3:uid="{00000000-0010-0000-0600-000002000000}" name="预算任务"/>
    <tableColumn id="3" xr3:uid="{00000000-0010-0000-0600-000003000000}" name="编制角色"/>
    <tableColumn id="4" xr3:uid="{00000000-0010-0000-0600-000004000000}" name="查看范围"/>
    <tableColumn id="5" xr3:uid="{00000000-0010-0000-0600-000005000000}" name="审批角色"/>
    <tableColumn id="6" xr3:uid="{00000000-0010-0000-0600-000006000000}" name="开始日期"/>
    <tableColumn id="7" xr3:uid="{00000000-0010-0000-0600-000007000000}" name="截止日期"/>
    <tableColumn id="8" xr3:uid="{00000000-0010-0000-0600-000008000000}" name="状态"/>
    <tableColumn id="9" xr3:uid="{00000000-0010-0000-0600-000009000000}" name="控制规则"/>
    <tableColumn id="10" xr3:uid="{00000000-0010-0000-0600-00000A000000}" name="消息渠道"/>
    <tableColumn id="11" xr3:uid="{00000000-0010-0000-0600-00000B000000}" name="审计点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CapabilityMap" displayName="CapabilityMap" ref="A4:G17" totalsRowShown="0">
  <tableColumns count="7">
    <tableColumn id="1" xr3:uid="{00000000-0010-0000-0700-000001000000}" name="演示节点"/>
    <tableColumn id="2" xr3:uid="{00000000-0010-0000-0700-000002000000}" name="业务动作"/>
    <tableColumn id="3" xr3:uid="{00000000-0010-0000-0700-000003000000}" name="工作表"/>
    <tableColumn id="4" xr3:uid="{00000000-0010-0000-0700-000004000000}" name="产品能力"/>
    <tableColumn id="5" xr3:uid="{00000000-0010-0000-0700-000005000000}" name="客户价值"/>
    <tableColumn id="6" xr3:uid="{00000000-0010-0000-0700-000006000000}" name="演示话术"/>
    <tableColumn id="7" xr3:uid="{00000000-0010-0000-0700-000007000000}" name="来源模块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workbookViewId="0">
      <selection sqref="A1:N1"/>
    </sheetView>
  </sheetViews>
  <sheetFormatPr defaultColWidth="9" defaultRowHeight="14"/>
  <cols>
    <col min="1" max="1" width="18" customWidth="1"/>
    <col min="2" max="2" width="24" customWidth="1"/>
    <col min="3" max="3" width="22" customWidth="1"/>
    <col min="4" max="4" width="28" customWidth="1"/>
    <col min="5" max="5" width="25" customWidth="1"/>
    <col min="6" max="6" width="30" customWidth="1"/>
    <col min="7" max="7" width="3" customWidth="1"/>
    <col min="8" max="14" width="12" customWidth="1"/>
  </cols>
  <sheetData>
    <row r="1" spans="1:14" ht="34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6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0" customHeight="1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 ht="16.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6" t="s">
        <v>8</v>
      </c>
      <c r="G6" s="3"/>
      <c r="H6" s="3"/>
      <c r="I6" s="3"/>
      <c r="J6" s="3"/>
      <c r="K6" s="3"/>
      <c r="L6" s="3"/>
      <c r="M6" s="3"/>
      <c r="N6" s="3"/>
    </row>
    <row r="7" spans="1:14" ht="54" customHeight="1">
      <c r="A7" s="7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3"/>
      <c r="H7" s="3"/>
      <c r="I7" s="3"/>
      <c r="J7" s="3"/>
      <c r="K7" s="3"/>
      <c r="L7" s="3"/>
      <c r="M7" s="3"/>
      <c r="N7" s="3"/>
    </row>
    <row r="8" spans="1:14" ht="54" customHeight="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3"/>
      <c r="H8" s="3"/>
      <c r="I8" s="3"/>
      <c r="J8" s="3"/>
      <c r="K8" s="3"/>
      <c r="L8" s="3"/>
      <c r="M8" s="3"/>
      <c r="N8" s="3"/>
    </row>
    <row r="9" spans="1:14" ht="54" customHeight="1">
      <c r="A9" s="8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3"/>
      <c r="H9" s="3"/>
      <c r="I9" s="3"/>
      <c r="J9" s="3"/>
      <c r="K9" s="3"/>
      <c r="L9" s="3"/>
      <c r="M9" s="3"/>
      <c r="N9" s="3"/>
    </row>
    <row r="10" spans="1:14" ht="54" customHeight="1">
      <c r="A10" s="8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 t="s">
        <v>32</v>
      </c>
      <c r="G10" s="3"/>
      <c r="H10" s="3"/>
      <c r="I10" s="3"/>
      <c r="J10" s="3"/>
      <c r="K10" s="3"/>
      <c r="L10" s="3"/>
      <c r="M10" s="3"/>
      <c r="N10" s="3"/>
    </row>
    <row r="11" spans="1:14" ht="54" customHeight="1">
      <c r="A11" s="8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38</v>
      </c>
      <c r="G11" s="3"/>
      <c r="H11" s="3"/>
      <c r="I11" s="3"/>
      <c r="J11" s="3"/>
      <c r="K11" s="3"/>
      <c r="L11" s="3"/>
      <c r="M11" s="3"/>
      <c r="N11" s="3"/>
    </row>
    <row r="12" spans="1:14" ht="54" customHeight="1">
      <c r="A12" s="8" t="s">
        <v>39</v>
      </c>
      <c r="B12" s="8" t="s">
        <v>40</v>
      </c>
      <c r="C12" s="8" t="s">
        <v>41</v>
      </c>
      <c r="D12" s="8" t="s">
        <v>42</v>
      </c>
      <c r="E12" s="8" t="s">
        <v>43</v>
      </c>
      <c r="F12" s="8" t="s">
        <v>44</v>
      </c>
      <c r="G12" s="3"/>
      <c r="H12" s="3"/>
      <c r="I12" s="3"/>
      <c r="J12" s="3"/>
      <c r="K12" s="3"/>
      <c r="L12" s="3"/>
      <c r="M12" s="3"/>
      <c r="N12" s="3"/>
    </row>
    <row r="13" spans="1:14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4" customHeight="1">
      <c r="A14" s="68" t="s">
        <v>45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</row>
    <row r="15" spans="1:14" ht="34" customHeight="1">
      <c r="A15" s="61" t="s">
        <v>46</v>
      </c>
      <c r="B15" s="62" t="s">
        <v>47</v>
      </c>
      <c r="C15" s="63" t="s">
        <v>48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ht="34" customHeight="1">
      <c r="A16" s="61" t="s">
        <v>49</v>
      </c>
      <c r="B16" s="62" t="s">
        <v>50</v>
      </c>
      <c r="C16" s="63" t="s">
        <v>51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</row>
    <row r="17" spans="1:14" ht="34" customHeight="1">
      <c r="A17" s="61" t="s">
        <v>52</v>
      </c>
      <c r="B17" s="62" t="s">
        <v>53</v>
      </c>
      <c r="C17" s="63" t="s">
        <v>54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</row>
    <row r="18" spans="1:14" ht="34" customHeight="1">
      <c r="A18" s="61" t="s">
        <v>55</v>
      </c>
      <c r="B18" s="62" t="s">
        <v>56</v>
      </c>
      <c r="C18" s="63" t="s">
        <v>57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</row>
    <row r="19" spans="1:14" ht="34" customHeight="1">
      <c r="A19" s="61" t="s">
        <v>58</v>
      </c>
      <c r="B19" s="62" t="s">
        <v>59</v>
      </c>
      <c r="C19" s="63" t="s">
        <v>60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4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64" t="s">
        <v>61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</row>
    <row r="22" spans="1:14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</sheetData>
  <mergeCells count="10">
    <mergeCell ref="A1:N1"/>
    <mergeCell ref="A2:N2"/>
    <mergeCell ref="A4:N4"/>
    <mergeCell ref="A14:N14"/>
    <mergeCell ref="C15:N15"/>
    <mergeCell ref="C16:N16"/>
    <mergeCell ref="C17:N17"/>
    <mergeCell ref="C18:N18"/>
    <mergeCell ref="C19:N19"/>
    <mergeCell ref="A21:N22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showGridLines="0" workbookViewId="0">
      <selection sqref="A1:Q1"/>
    </sheetView>
  </sheetViews>
  <sheetFormatPr defaultColWidth="9" defaultRowHeight="14"/>
  <cols>
    <col min="1" max="1" width="19" customWidth="1"/>
    <col min="2" max="2" width="18" customWidth="1"/>
    <col min="3" max="3" width="16" customWidth="1"/>
    <col min="4" max="4" width="20" customWidth="1"/>
    <col min="5" max="5" width="14" customWidth="1"/>
    <col min="6" max="6" width="28" customWidth="1"/>
    <col min="7" max="7" width="3" customWidth="1"/>
    <col min="8" max="8" width="14" customWidth="1"/>
    <col min="9" max="9" width="19" customWidth="1"/>
    <col min="10" max="10" width="16" customWidth="1"/>
    <col min="11" max="11" width="15" customWidth="1"/>
    <col min="12" max="12" width="16" customWidth="1"/>
    <col min="13" max="14" width="15" customWidth="1"/>
    <col min="15" max="15" width="18" customWidth="1"/>
    <col min="16" max="16" width="3" customWidth="1"/>
    <col min="17" max="17" width="12" customWidth="1"/>
  </cols>
  <sheetData>
    <row r="1" spans="1:17" ht="34" customHeight="1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 ht="26" customHeight="1">
      <c r="A2" s="66" t="s">
        <v>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4" customHeight="1">
      <c r="A4" s="68" t="s">
        <v>64</v>
      </c>
      <c r="B4" s="68"/>
      <c r="C4" s="68"/>
      <c r="D4" s="68"/>
      <c r="E4" s="68"/>
      <c r="F4" s="68"/>
      <c r="G4" s="3"/>
      <c r="H4" s="68" t="s">
        <v>65</v>
      </c>
      <c r="I4" s="68"/>
      <c r="J4" s="68"/>
      <c r="K4" s="68"/>
      <c r="L4" s="68"/>
      <c r="M4" s="68"/>
      <c r="N4" s="68"/>
      <c r="O4" s="68"/>
      <c r="P4" s="3"/>
      <c r="Q4" s="3"/>
    </row>
    <row r="5" spans="1:17" ht="33">
      <c r="A5" s="4" t="s">
        <v>66</v>
      </c>
      <c r="B5" s="6" t="s">
        <v>67</v>
      </c>
      <c r="C5" s="3"/>
      <c r="D5" s="4" t="s">
        <v>68</v>
      </c>
      <c r="E5" s="5" t="s">
        <v>69</v>
      </c>
      <c r="F5" s="6" t="s">
        <v>70</v>
      </c>
      <c r="G5" s="3"/>
      <c r="H5" s="4" t="s">
        <v>71</v>
      </c>
      <c r="I5" s="5" t="s">
        <v>72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6" t="s">
        <v>78</v>
      </c>
      <c r="P5" s="3"/>
      <c r="Q5" s="3"/>
    </row>
    <row r="6" spans="1:17" ht="16.5">
      <c r="A6" s="10" t="s">
        <v>79</v>
      </c>
      <c r="B6" s="55" t="s">
        <v>80</v>
      </c>
      <c r="C6" s="3"/>
      <c r="D6" s="10" t="s">
        <v>80</v>
      </c>
      <c r="E6" s="56">
        <v>1</v>
      </c>
      <c r="F6" s="10" t="s">
        <v>81</v>
      </c>
      <c r="G6" s="3"/>
      <c r="H6" s="10" t="s">
        <v>82</v>
      </c>
      <c r="I6" s="10" t="s">
        <v>83</v>
      </c>
      <c r="J6" s="10" t="s">
        <v>84</v>
      </c>
      <c r="K6" s="55">
        <v>1299</v>
      </c>
      <c r="L6" s="57">
        <v>0.4</v>
      </c>
      <c r="M6" s="55">
        <v>55</v>
      </c>
      <c r="N6" s="57">
        <v>0.15</v>
      </c>
      <c r="O6" s="55">
        <v>481</v>
      </c>
      <c r="P6" s="3"/>
      <c r="Q6" s="3"/>
    </row>
    <row r="7" spans="1:17" ht="16.5">
      <c r="A7" s="12" t="s">
        <v>85</v>
      </c>
      <c r="B7" s="58">
        <v>12000</v>
      </c>
      <c r="C7" s="3"/>
      <c r="D7" s="12" t="s">
        <v>86</v>
      </c>
      <c r="E7" s="59">
        <v>1.1000000000000001</v>
      </c>
      <c r="F7" s="12" t="s">
        <v>87</v>
      </c>
      <c r="G7" s="3"/>
      <c r="H7" s="12" t="s">
        <v>88</v>
      </c>
      <c r="I7" s="12" t="s">
        <v>89</v>
      </c>
      <c r="J7" s="12" t="s">
        <v>84</v>
      </c>
      <c r="K7" s="58">
        <v>899</v>
      </c>
      <c r="L7" s="60">
        <v>0.35</v>
      </c>
      <c r="M7" s="58">
        <v>42</v>
      </c>
      <c r="N7" s="60">
        <v>0.15</v>
      </c>
      <c r="O7" s="58">
        <v>512</v>
      </c>
      <c r="P7" s="3"/>
      <c r="Q7" s="3"/>
    </row>
    <row r="8" spans="1:17" ht="16.5">
      <c r="A8" s="12" t="s">
        <v>90</v>
      </c>
      <c r="B8" s="49">
        <f>IF(B6="乐观",1.1,IF(B6="审慎",0.92,1))</f>
        <v>1</v>
      </c>
      <c r="C8" s="3"/>
      <c r="D8" s="12" t="s">
        <v>91</v>
      </c>
      <c r="E8" s="59">
        <v>0.92</v>
      </c>
      <c r="F8" s="12" t="s">
        <v>92</v>
      </c>
      <c r="G8" s="3"/>
      <c r="H8" s="12" t="s">
        <v>93</v>
      </c>
      <c r="I8" s="12" t="s">
        <v>94</v>
      </c>
      <c r="J8" s="12" t="s">
        <v>95</v>
      </c>
      <c r="K8" s="58">
        <v>1699</v>
      </c>
      <c r="L8" s="60">
        <v>0.25</v>
      </c>
      <c r="M8" s="58">
        <v>68</v>
      </c>
      <c r="N8" s="60">
        <v>0.18</v>
      </c>
      <c r="O8" s="58">
        <v>507</v>
      </c>
      <c r="P8" s="3"/>
      <c r="Q8" s="3"/>
    </row>
    <row r="9" spans="1:17" ht="16.5">
      <c r="A9" s="12" t="s">
        <v>96</v>
      </c>
      <c r="B9" s="60">
        <v>0.36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4" customHeight="1">
      <c r="A10" s="3"/>
      <c r="B10" s="3"/>
      <c r="C10" s="3"/>
      <c r="D10" s="3"/>
      <c r="E10" s="3"/>
      <c r="F10" s="3"/>
      <c r="G10" s="3"/>
      <c r="H10" s="68" t="s">
        <v>97</v>
      </c>
      <c r="I10" s="68"/>
      <c r="J10" s="68"/>
      <c r="K10" s="68"/>
      <c r="L10" s="68"/>
      <c r="M10" s="68"/>
      <c r="N10" s="68"/>
      <c r="O10" s="3"/>
      <c r="P10" s="3"/>
      <c r="Q10" s="3"/>
    </row>
    <row r="11" spans="1:17" ht="24" customHeight="1">
      <c r="A11" s="68" t="s">
        <v>98</v>
      </c>
      <c r="B11" s="68"/>
      <c r="C11" s="68"/>
      <c r="D11" s="68"/>
      <c r="E11" s="68"/>
      <c r="F11" s="68"/>
      <c r="G11" s="3"/>
      <c r="H11" s="4" t="s">
        <v>99</v>
      </c>
      <c r="I11" s="5" t="s">
        <v>100</v>
      </c>
      <c r="J11" s="5" t="s">
        <v>101</v>
      </c>
      <c r="K11" s="5" t="s">
        <v>102</v>
      </c>
      <c r="L11" s="6" t="s">
        <v>103</v>
      </c>
      <c r="M11" s="3"/>
      <c r="N11" s="3"/>
      <c r="O11" s="3"/>
      <c r="P11" s="3"/>
      <c r="Q11" s="3"/>
    </row>
    <row r="12" spans="1:17" ht="16.5">
      <c r="A12" s="4" t="s">
        <v>104</v>
      </c>
      <c r="B12" s="5" t="s">
        <v>105</v>
      </c>
      <c r="C12" s="5" t="s">
        <v>106</v>
      </c>
      <c r="D12" s="6" t="s">
        <v>107</v>
      </c>
      <c r="E12" s="3"/>
      <c r="F12" s="3"/>
      <c r="G12" s="3"/>
      <c r="H12" s="10" t="s">
        <v>108</v>
      </c>
      <c r="I12" s="10" t="s">
        <v>109</v>
      </c>
      <c r="J12" s="57">
        <v>0.3</v>
      </c>
      <c r="K12" s="57">
        <v>0.95</v>
      </c>
      <c r="L12" s="10">
        <v>7</v>
      </c>
      <c r="M12" s="3"/>
      <c r="N12" s="3"/>
      <c r="O12" s="3"/>
      <c r="P12" s="3"/>
      <c r="Q12" s="3"/>
    </row>
    <row r="13" spans="1:17" ht="16.5">
      <c r="A13" s="10" t="s">
        <v>110</v>
      </c>
      <c r="B13" s="10" t="s">
        <v>111</v>
      </c>
      <c r="C13" s="57">
        <v>0.34</v>
      </c>
      <c r="D13" s="10" t="s">
        <v>112</v>
      </c>
      <c r="E13" s="3"/>
      <c r="F13" s="3"/>
      <c r="G13" s="3"/>
      <c r="H13" s="12" t="s">
        <v>113</v>
      </c>
      <c r="I13" s="12" t="s">
        <v>114</v>
      </c>
      <c r="J13" s="60">
        <v>0.35</v>
      </c>
      <c r="K13" s="60">
        <v>0.9</v>
      </c>
      <c r="L13" s="12">
        <v>15</v>
      </c>
      <c r="M13" s="3"/>
      <c r="N13" s="3"/>
      <c r="O13" s="3"/>
      <c r="P13" s="3"/>
      <c r="Q13" s="3"/>
    </row>
    <row r="14" spans="1:17" ht="16.5">
      <c r="A14" s="12" t="s">
        <v>115</v>
      </c>
      <c r="B14" s="12" t="s">
        <v>116</v>
      </c>
      <c r="C14" s="60">
        <v>0.27</v>
      </c>
      <c r="D14" s="12" t="s">
        <v>117</v>
      </c>
      <c r="E14" s="3"/>
      <c r="F14" s="3"/>
      <c r="G14" s="3"/>
      <c r="H14" s="12" t="s">
        <v>118</v>
      </c>
      <c r="I14" s="12" t="s">
        <v>119</v>
      </c>
      <c r="J14" s="60">
        <v>0.2</v>
      </c>
      <c r="K14" s="60">
        <v>0.82</v>
      </c>
      <c r="L14" s="12">
        <v>45</v>
      </c>
      <c r="M14" s="3"/>
      <c r="N14" s="3"/>
      <c r="O14" s="3"/>
      <c r="P14" s="3"/>
      <c r="Q14" s="3"/>
    </row>
    <row r="15" spans="1:17" ht="16.5">
      <c r="A15" s="12" t="s">
        <v>120</v>
      </c>
      <c r="B15" s="12" t="s">
        <v>121</v>
      </c>
      <c r="C15" s="60">
        <v>0.23</v>
      </c>
      <c r="D15" s="12" t="s">
        <v>122</v>
      </c>
      <c r="E15" s="3"/>
      <c r="F15" s="3"/>
      <c r="G15" s="3"/>
      <c r="H15" s="12" t="s">
        <v>123</v>
      </c>
      <c r="I15" s="12" t="s">
        <v>124</v>
      </c>
      <c r="J15" s="60">
        <v>0.15</v>
      </c>
      <c r="K15" s="60">
        <v>0.72</v>
      </c>
      <c r="L15" s="12">
        <v>30</v>
      </c>
      <c r="M15" s="3"/>
      <c r="N15" s="3"/>
      <c r="O15" s="3"/>
      <c r="P15" s="3"/>
      <c r="Q15" s="3"/>
    </row>
    <row r="16" spans="1:17" ht="16.5">
      <c r="A16" s="12" t="s">
        <v>125</v>
      </c>
      <c r="B16" s="12" t="s">
        <v>126</v>
      </c>
      <c r="C16" s="60">
        <v>0.16</v>
      </c>
      <c r="D16" s="12" t="s">
        <v>127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4" customHeight="1">
      <c r="A19" s="68" t="s">
        <v>128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spans="1:17" ht="33">
      <c r="A20" s="4" t="s">
        <v>129</v>
      </c>
      <c r="B20" s="5" t="s">
        <v>130</v>
      </c>
      <c r="C20" s="5" t="s">
        <v>131</v>
      </c>
      <c r="D20" s="5" t="s">
        <v>132</v>
      </c>
      <c r="E20" s="5" t="s">
        <v>133</v>
      </c>
      <c r="F20" s="5" t="s">
        <v>134</v>
      </c>
      <c r="G20" s="5" t="s">
        <v>135</v>
      </c>
      <c r="H20" s="5" t="s">
        <v>136</v>
      </c>
      <c r="I20" s="5" t="s">
        <v>137</v>
      </c>
      <c r="J20" s="5" t="s">
        <v>138</v>
      </c>
      <c r="K20" s="5" t="s">
        <v>139</v>
      </c>
      <c r="L20" s="5" t="s">
        <v>140</v>
      </c>
      <c r="M20" s="6" t="s">
        <v>141</v>
      </c>
      <c r="N20" s="3"/>
      <c r="O20" s="3"/>
      <c r="P20" s="3"/>
      <c r="Q20" s="3"/>
    </row>
    <row r="21" spans="1:17" ht="16.5">
      <c r="A21" s="10" t="s">
        <v>142</v>
      </c>
      <c r="B21" s="57">
        <v>7.0000000000000007E-2</v>
      </c>
      <c r="C21" s="57">
        <v>0.06</v>
      </c>
      <c r="D21" s="57">
        <v>7.0000000000000007E-2</v>
      </c>
      <c r="E21" s="57">
        <v>7.4999999999999997E-2</v>
      </c>
      <c r="F21" s="57">
        <v>7.4999999999999997E-2</v>
      </c>
      <c r="G21" s="57">
        <v>0.08</v>
      </c>
      <c r="H21" s="57">
        <v>0.08</v>
      </c>
      <c r="I21" s="57">
        <v>0.08</v>
      </c>
      <c r="J21" s="57">
        <v>8.5000000000000006E-2</v>
      </c>
      <c r="K21" s="57">
        <v>0.09</v>
      </c>
      <c r="L21" s="57">
        <v>0.11</v>
      </c>
      <c r="M21" s="57">
        <v>0.125</v>
      </c>
      <c r="N21" s="3"/>
      <c r="O21" s="3"/>
      <c r="P21" s="3"/>
      <c r="Q21" s="3"/>
    </row>
    <row r="22" spans="1:17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4" customHeight="1">
      <c r="A24" s="68" t="s">
        <v>143</v>
      </c>
      <c r="B24" s="68"/>
      <c r="C24" s="68"/>
      <c r="D24" s="68"/>
      <c r="E24" s="68"/>
      <c r="F24" s="68"/>
      <c r="G24" s="68"/>
      <c r="H24" s="68" t="s">
        <v>144</v>
      </c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33">
      <c r="A25" s="4" t="s">
        <v>145</v>
      </c>
      <c r="B25" s="5" t="s">
        <v>146</v>
      </c>
      <c r="C25" s="5" t="s">
        <v>147</v>
      </c>
      <c r="D25" s="6" t="s">
        <v>148</v>
      </c>
      <c r="E25" s="3"/>
      <c r="F25" s="3"/>
      <c r="G25" s="3"/>
      <c r="H25" s="4" t="s">
        <v>149</v>
      </c>
      <c r="I25" s="5" t="s">
        <v>150</v>
      </c>
      <c r="J25" s="5" t="s">
        <v>151</v>
      </c>
      <c r="K25" s="5" t="s">
        <v>152</v>
      </c>
      <c r="L25" s="5" t="s">
        <v>153</v>
      </c>
      <c r="M25" s="5" t="s">
        <v>154</v>
      </c>
      <c r="N25" s="6" t="s">
        <v>155</v>
      </c>
      <c r="O25" s="3"/>
      <c r="P25" s="3"/>
      <c r="Q25" s="3"/>
    </row>
    <row r="26" spans="1:17" ht="16.5">
      <c r="A26" s="10" t="s">
        <v>156</v>
      </c>
      <c r="B26" s="10" t="s">
        <v>157</v>
      </c>
      <c r="C26" s="57">
        <v>7.4999999999999997E-2</v>
      </c>
      <c r="D26" s="10" t="s">
        <v>158</v>
      </c>
      <c r="E26" s="3"/>
      <c r="F26" s="3"/>
      <c r="G26" s="3"/>
      <c r="H26" s="10" t="s">
        <v>159</v>
      </c>
      <c r="I26" s="10" t="s">
        <v>160</v>
      </c>
      <c r="J26" s="55">
        <v>210</v>
      </c>
      <c r="K26" s="55" t="s">
        <v>161</v>
      </c>
      <c r="L26" s="55">
        <v>20</v>
      </c>
      <c r="M26" s="57">
        <v>0.02</v>
      </c>
      <c r="N26" s="10" t="s">
        <v>162</v>
      </c>
      <c r="O26" s="3"/>
      <c r="P26" s="3"/>
      <c r="Q26" s="3"/>
    </row>
    <row r="27" spans="1:17" ht="16.5">
      <c r="A27" s="12" t="s">
        <v>163</v>
      </c>
      <c r="B27" s="12" t="s">
        <v>157</v>
      </c>
      <c r="C27" s="60">
        <v>3.5000000000000003E-2</v>
      </c>
      <c r="D27" s="12" t="s">
        <v>164</v>
      </c>
      <c r="E27" s="3"/>
      <c r="F27" s="3"/>
      <c r="G27" s="3"/>
      <c r="H27" s="12" t="s">
        <v>165</v>
      </c>
      <c r="I27" s="12" t="s">
        <v>166</v>
      </c>
      <c r="J27" s="58">
        <v>95</v>
      </c>
      <c r="K27" s="58" t="s">
        <v>167</v>
      </c>
      <c r="L27" s="58">
        <v>15</v>
      </c>
      <c r="M27" s="60">
        <v>0.02</v>
      </c>
      <c r="N27" s="12" t="s">
        <v>162</v>
      </c>
      <c r="O27" s="3"/>
      <c r="P27" s="3"/>
      <c r="Q27" s="3"/>
    </row>
    <row r="28" spans="1:17" ht="16.5">
      <c r="A28" s="12" t="s">
        <v>168</v>
      </c>
      <c r="B28" s="12" t="s">
        <v>169</v>
      </c>
      <c r="C28" s="58">
        <v>38</v>
      </c>
      <c r="D28" s="12" t="s">
        <v>170</v>
      </c>
      <c r="E28" s="3"/>
      <c r="F28" s="3"/>
      <c r="G28" s="3"/>
      <c r="H28" s="12" t="s">
        <v>171</v>
      </c>
      <c r="I28" s="12" t="s">
        <v>172</v>
      </c>
      <c r="J28" s="58">
        <v>88</v>
      </c>
      <c r="K28" s="58" t="s">
        <v>173</v>
      </c>
      <c r="L28" s="58">
        <v>25</v>
      </c>
      <c r="M28" s="60">
        <v>0.03</v>
      </c>
      <c r="N28" s="12" t="s">
        <v>162</v>
      </c>
      <c r="O28" s="3"/>
      <c r="P28" s="3"/>
      <c r="Q28" s="3"/>
    </row>
    <row r="29" spans="1:17" ht="16.5">
      <c r="A29" s="12" t="s">
        <v>174</v>
      </c>
      <c r="B29" s="12" t="s">
        <v>169</v>
      </c>
      <c r="C29" s="58">
        <v>22</v>
      </c>
      <c r="D29" s="12" t="s">
        <v>175</v>
      </c>
      <c r="E29" s="3"/>
      <c r="F29" s="3"/>
      <c r="G29" s="3"/>
      <c r="H29" s="12" t="s">
        <v>176</v>
      </c>
      <c r="I29" s="12" t="s">
        <v>177</v>
      </c>
      <c r="J29" s="58">
        <v>72</v>
      </c>
      <c r="K29" s="58" t="s">
        <v>178</v>
      </c>
      <c r="L29" s="58">
        <v>18</v>
      </c>
      <c r="M29" s="60">
        <v>0.02</v>
      </c>
      <c r="N29" s="12" t="s">
        <v>162</v>
      </c>
      <c r="O29" s="3"/>
      <c r="P29" s="3"/>
      <c r="Q29" s="3"/>
    </row>
    <row r="30" spans="1:17" ht="16.5">
      <c r="A30" s="3"/>
      <c r="B30" s="3"/>
      <c r="C30" s="3"/>
      <c r="D30" s="3"/>
      <c r="E30" s="3"/>
      <c r="F30" s="3"/>
      <c r="G30" s="3"/>
      <c r="H30" s="12" t="s">
        <v>179</v>
      </c>
      <c r="I30" s="12" t="s">
        <v>180</v>
      </c>
      <c r="J30" s="58">
        <v>65</v>
      </c>
      <c r="K30" s="58" t="s">
        <v>181</v>
      </c>
      <c r="L30" s="58">
        <v>14</v>
      </c>
      <c r="M30" s="60">
        <v>0.02</v>
      </c>
      <c r="N30" s="12" t="s">
        <v>182</v>
      </c>
      <c r="O30" s="3"/>
      <c r="P30" s="3"/>
      <c r="Q30" s="3"/>
    </row>
    <row r="31" spans="1:17" ht="16.5">
      <c r="A31" s="3"/>
      <c r="B31" s="3"/>
      <c r="C31" s="3"/>
      <c r="D31" s="3"/>
      <c r="E31" s="3"/>
      <c r="F31" s="3"/>
      <c r="G31" s="3"/>
      <c r="H31" s="12" t="s">
        <v>183</v>
      </c>
      <c r="I31" s="12" t="s">
        <v>184</v>
      </c>
      <c r="J31" s="58">
        <v>185</v>
      </c>
      <c r="K31" s="58" t="s">
        <v>185</v>
      </c>
      <c r="L31" s="58">
        <v>30</v>
      </c>
      <c r="M31" s="60">
        <v>0.03</v>
      </c>
      <c r="N31" s="12" t="s">
        <v>162</v>
      </c>
      <c r="O31" s="3"/>
      <c r="P31" s="3"/>
      <c r="Q31" s="3"/>
    </row>
    <row r="32" spans="1:17" ht="16.5">
      <c r="A32" s="3"/>
      <c r="B32" s="3"/>
      <c r="C32" s="3"/>
      <c r="D32" s="3"/>
      <c r="E32" s="3"/>
      <c r="F32" s="3"/>
      <c r="G32" s="3"/>
      <c r="H32" s="12" t="s">
        <v>186</v>
      </c>
      <c r="I32" s="12" t="s">
        <v>187</v>
      </c>
      <c r="J32" s="58">
        <v>128</v>
      </c>
      <c r="K32" s="58" t="s">
        <v>185</v>
      </c>
      <c r="L32" s="58">
        <v>30</v>
      </c>
      <c r="M32" s="60">
        <v>0.03</v>
      </c>
      <c r="N32" s="12" t="s">
        <v>162</v>
      </c>
      <c r="O32" s="3"/>
      <c r="P32" s="3"/>
      <c r="Q32" s="3"/>
    </row>
    <row r="33" spans="1:17" ht="16.5">
      <c r="A33" s="3"/>
      <c r="B33" s="3"/>
      <c r="C33" s="3"/>
      <c r="D33" s="3"/>
      <c r="E33" s="3"/>
      <c r="F33" s="3"/>
      <c r="G33" s="3"/>
      <c r="H33" s="12" t="s">
        <v>188</v>
      </c>
      <c r="I33" s="12" t="s">
        <v>189</v>
      </c>
      <c r="J33" s="58">
        <v>28</v>
      </c>
      <c r="K33" s="58" t="s">
        <v>190</v>
      </c>
      <c r="L33" s="58">
        <v>10</v>
      </c>
      <c r="M33" s="60">
        <v>0.01</v>
      </c>
      <c r="N33" s="12" t="s">
        <v>182</v>
      </c>
      <c r="O33" s="3"/>
      <c r="P33" s="3"/>
      <c r="Q33" s="3"/>
    </row>
    <row r="34" spans="1:17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69" t="s">
        <v>191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</row>
    <row r="37" spans="1:17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</row>
  </sheetData>
  <mergeCells count="9">
    <mergeCell ref="A11:F11"/>
    <mergeCell ref="A19:Q19"/>
    <mergeCell ref="A24:H24"/>
    <mergeCell ref="A36:Q37"/>
    <mergeCell ref="A1:Q1"/>
    <mergeCell ref="A2:Q2"/>
    <mergeCell ref="A4:F4"/>
    <mergeCell ref="H4:O4"/>
    <mergeCell ref="H10:N10"/>
  </mergeCells>
  <phoneticPr fontId="20" type="noConversion"/>
  <dataValidations count="1">
    <dataValidation type="list" sqref="B6" xr:uid="{00000000-0002-0000-0100-000000000000}">
      <formula1>"基准,乐观,审慎"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showGridLines="0" workbookViewId="0">
      <selection sqref="A1:J1"/>
    </sheetView>
  </sheetViews>
  <sheetFormatPr defaultColWidth="9" defaultRowHeight="14"/>
  <cols>
    <col min="1" max="2" width="12" customWidth="1"/>
    <col min="3" max="3" width="14" customWidth="1"/>
    <col min="4" max="4" width="20" customWidth="1"/>
    <col min="5" max="6" width="13" customWidth="1"/>
    <col min="7" max="7" width="20" customWidth="1"/>
    <col min="8" max="8" width="14" customWidth="1"/>
    <col min="9" max="9" width="18" customWidth="1"/>
    <col min="10" max="10" width="16" customWidth="1"/>
  </cols>
  <sheetData>
    <row r="1" spans="1:10" ht="34" customHeight="1">
      <c r="A1" s="65" t="s">
        <v>192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6" customHeight="1">
      <c r="A2" s="66" t="s">
        <v>193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6.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3">
      <c r="A4" s="4" t="s">
        <v>104</v>
      </c>
      <c r="B4" s="5" t="s">
        <v>105</v>
      </c>
      <c r="C4" s="5" t="s">
        <v>71</v>
      </c>
      <c r="D4" s="5" t="s">
        <v>194</v>
      </c>
      <c r="E4" s="5" t="s">
        <v>195</v>
      </c>
      <c r="F4" s="5" t="s">
        <v>196</v>
      </c>
      <c r="G4" s="5" t="s">
        <v>197</v>
      </c>
      <c r="H4" s="5" t="s">
        <v>96</v>
      </c>
      <c r="I4" s="5" t="s">
        <v>198</v>
      </c>
      <c r="J4" s="6" t="s">
        <v>199</v>
      </c>
    </row>
    <row r="5" spans="1:10" ht="14.5">
      <c r="A5" s="10" t="s">
        <v>110</v>
      </c>
      <c r="B5" s="10" t="s">
        <v>111</v>
      </c>
      <c r="C5" s="10" t="s">
        <v>82</v>
      </c>
      <c r="D5" s="10" t="s">
        <v>83</v>
      </c>
      <c r="E5" s="20">
        <v>0.34</v>
      </c>
      <c r="F5" s="20">
        <v>0.4</v>
      </c>
      <c r="G5" s="53">
        <f>'01_主数据假设'!$B$7*'01_主数据假设'!$B$8*E5*F5</f>
        <v>1632</v>
      </c>
      <c r="H5" s="43">
        <f>'01_主数据假设'!$B$9</f>
        <v>0.36</v>
      </c>
      <c r="I5" s="53">
        <f>ROUND(SUMIFS('03_销售预算'!$U$5:$U$52,'03_销售预算'!$A$5:$A$52,A5,'03_销售预算'!$C$5:$C$52,C5),1)</f>
        <v>1632</v>
      </c>
      <c r="J5" s="53">
        <f t="shared" ref="J5:J16" si="0">ROUND(I5-G5,1)</f>
        <v>0</v>
      </c>
    </row>
    <row r="6" spans="1:10" ht="14.5">
      <c r="A6" s="12" t="s">
        <v>110</v>
      </c>
      <c r="B6" s="12" t="s">
        <v>111</v>
      </c>
      <c r="C6" s="12" t="s">
        <v>88</v>
      </c>
      <c r="D6" s="12" t="s">
        <v>89</v>
      </c>
      <c r="E6" s="23">
        <v>0.34</v>
      </c>
      <c r="F6" s="23">
        <v>0.35</v>
      </c>
      <c r="G6" s="54">
        <f>'01_主数据假设'!$B$7*'01_主数据假设'!$B$8*E6*F6</f>
        <v>1428</v>
      </c>
      <c r="H6" s="45">
        <f>'01_主数据假设'!$B$9</f>
        <v>0.36</v>
      </c>
      <c r="I6" s="54">
        <f>ROUND(SUMIFS('03_销售预算'!$U$5:$U$52,'03_销售预算'!$A$5:$A$52,A6,'03_销售预算'!$C$5:$C$52,C6),1)</f>
        <v>1428</v>
      </c>
      <c r="J6" s="54">
        <f t="shared" si="0"/>
        <v>0</v>
      </c>
    </row>
    <row r="7" spans="1:10" ht="14.5">
      <c r="A7" s="12" t="s">
        <v>110</v>
      </c>
      <c r="B7" s="12" t="s">
        <v>111</v>
      </c>
      <c r="C7" s="12" t="s">
        <v>93</v>
      </c>
      <c r="D7" s="12" t="s">
        <v>94</v>
      </c>
      <c r="E7" s="23">
        <v>0.34</v>
      </c>
      <c r="F7" s="23">
        <v>0.25</v>
      </c>
      <c r="G7" s="54">
        <f>'01_主数据假设'!$B$7*'01_主数据假设'!$B$8*E7*F7</f>
        <v>1020</v>
      </c>
      <c r="H7" s="45">
        <f>'01_主数据假设'!$B$9</f>
        <v>0.36</v>
      </c>
      <c r="I7" s="54">
        <f>ROUND(SUMIFS('03_销售预算'!$U$5:$U$52,'03_销售预算'!$A$5:$A$52,A7,'03_销售预算'!$C$5:$C$52,C7),1)</f>
        <v>1020</v>
      </c>
      <c r="J7" s="54">
        <f t="shared" si="0"/>
        <v>0</v>
      </c>
    </row>
    <row r="8" spans="1:10" ht="14.5">
      <c r="A8" s="12" t="s">
        <v>115</v>
      </c>
      <c r="B8" s="12" t="s">
        <v>116</v>
      </c>
      <c r="C8" s="12" t="s">
        <v>82</v>
      </c>
      <c r="D8" s="12" t="s">
        <v>83</v>
      </c>
      <c r="E8" s="23">
        <v>0.27</v>
      </c>
      <c r="F8" s="23">
        <v>0.4</v>
      </c>
      <c r="G8" s="54">
        <f>'01_主数据假设'!$B$7*'01_主数据假设'!$B$8*E8*F8</f>
        <v>1296</v>
      </c>
      <c r="H8" s="45">
        <f>'01_主数据假设'!$B$9</f>
        <v>0.36</v>
      </c>
      <c r="I8" s="54">
        <f>ROUND(SUMIFS('03_销售预算'!$U$5:$U$52,'03_销售预算'!$A$5:$A$52,A8,'03_销售预算'!$C$5:$C$52,C8),1)</f>
        <v>1296</v>
      </c>
      <c r="J8" s="54">
        <f t="shared" si="0"/>
        <v>0</v>
      </c>
    </row>
    <row r="9" spans="1:10" ht="14.5">
      <c r="A9" s="12" t="s">
        <v>115</v>
      </c>
      <c r="B9" s="12" t="s">
        <v>116</v>
      </c>
      <c r="C9" s="12" t="s">
        <v>88</v>
      </c>
      <c r="D9" s="12" t="s">
        <v>89</v>
      </c>
      <c r="E9" s="23">
        <v>0.27</v>
      </c>
      <c r="F9" s="23">
        <v>0.35</v>
      </c>
      <c r="G9" s="54">
        <f>'01_主数据假设'!$B$7*'01_主数据假设'!$B$8*E9*F9</f>
        <v>1134</v>
      </c>
      <c r="H9" s="45">
        <f>'01_主数据假设'!$B$9</f>
        <v>0.36</v>
      </c>
      <c r="I9" s="54">
        <f>ROUND(SUMIFS('03_销售预算'!$U$5:$U$52,'03_销售预算'!$A$5:$A$52,A9,'03_销售预算'!$C$5:$C$52,C9),1)</f>
        <v>1134</v>
      </c>
      <c r="J9" s="54">
        <f t="shared" si="0"/>
        <v>0</v>
      </c>
    </row>
    <row r="10" spans="1:10" ht="14.5">
      <c r="A10" s="12" t="s">
        <v>115</v>
      </c>
      <c r="B10" s="12" t="s">
        <v>116</v>
      </c>
      <c r="C10" s="12" t="s">
        <v>93</v>
      </c>
      <c r="D10" s="12" t="s">
        <v>94</v>
      </c>
      <c r="E10" s="23">
        <v>0.27</v>
      </c>
      <c r="F10" s="23">
        <v>0.25</v>
      </c>
      <c r="G10" s="54">
        <f>'01_主数据假设'!$B$7*'01_主数据假设'!$B$8*E10*F10</f>
        <v>810</v>
      </c>
      <c r="H10" s="45">
        <f>'01_主数据假设'!$B$9</f>
        <v>0.36</v>
      </c>
      <c r="I10" s="54">
        <f>ROUND(SUMIFS('03_销售预算'!$U$5:$U$52,'03_销售预算'!$A$5:$A$52,A10,'03_销售预算'!$C$5:$C$52,C10),1)</f>
        <v>810</v>
      </c>
      <c r="J10" s="54">
        <f t="shared" si="0"/>
        <v>0</v>
      </c>
    </row>
    <row r="11" spans="1:10" ht="14.5">
      <c r="A11" s="12" t="s">
        <v>120</v>
      </c>
      <c r="B11" s="12" t="s">
        <v>121</v>
      </c>
      <c r="C11" s="12" t="s">
        <v>82</v>
      </c>
      <c r="D11" s="12" t="s">
        <v>83</v>
      </c>
      <c r="E11" s="23">
        <v>0.23</v>
      </c>
      <c r="F11" s="23">
        <v>0.4</v>
      </c>
      <c r="G11" s="54">
        <f>'01_主数据假设'!$B$7*'01_主数据假设'!$B$8*E11*F11</f>
        <v>1104</v>
      </c>
      <c r="H11" s="45">
        <f>'01_主数据假设'!$B$9</f>
        <v>0.36</v>
      </c>
      <c r="I11" s="54">
        <f>ROUND(SUMIFS('03_销售预算'!$U$5:$U$52,'03_销售预算'!$A$5:$A$52,A11,'03_销售预算'!$C$5:$C$52,C11),1)</f>
        <v>1104</v>
      </c>
      <c r="J11" s="54">
        <f t="shared" si="0"/>
        <v>0</v>
      </c>
    </row>
    <row r="12" spans="1:10" ht="14.5">
      <c r="A12" s="12" t="s">
        <v>120</v>
      </c>
      <c r="B12" s="12" t="s">
        <v>121</v>
      </c>
      <c r="C12" s="12" t="s">
        <v>88</v>
      </c>
      <c r="D12" s="12" t="s">
        <v>89</v>
      </c>
      <c r="E12" s="23">
        <v>0.23</v>
      </c>
      <c r="F12" s="23">
        <v>0.35</v>
      </c>
      <c r="G12" s="54">
        <f>'01_主数据假设'!$B$7*'01_主数据假设'!$B$8*E12*F12</f>
        <v>966</v>
      </c>
      <c r="H12" s="45">
        <f>'01_主数据假设'!$B$9</f>
        <v>0.36</v>
      </c>
      <c r="I12" s="54">
        <f>ROUND(SUMIFS('03_销售预算'!$U$5:$U$52,'03_销售预算'!$A$5:$A$52,A12,'03_销售预算'!$C$5:$C$52,C12),1)</f>
        <v>966</v>
      </c>
      <c r="J12" s="54">
        <f t="shared" si="0"/>
        <v>0</v>
      </c>
    </row>
    <row r="13" spans="1:10" ht="14.5">
      <c r="A13" s="12" t="s">
        <v>120</v>
      </c>
      <c r="B13" s="12" t="s">
        <v>121</v>
      </c>
      <c r="C13" s="12" t="s">
        <v>93</v>
      </c>
      <c r="D13" s="12" t="s">
        <v>94</v>
      </c>
      <c r="E13" s="23">
        <v>0.23</v>
      </c>
      <c r="F13" s="23">
        <v>0.25</v>
      </c>
      <c r="G13" s="54">
        <f>'01_主数据假设'!$B$7*'01_主数据假设'!$B$8*E13*F13</f>
        <v>690</v>
      </c>
      <c r="H13" s="45">
        <f>'01_主数据假设'!$B$9</f>
        <v>0.36</v>
      </c>
      <c r="I13" s="54">
        <f>ROUND(SUMIFS('03_销售预算'!$U$5:$U$52,'03_销售预算'!$A$5:$A$52,A13,'03_销售预算'!$C$5:$C$52,C13),1)</f>
        <v>690</v>
      </c>
      <c r="J13" s="54">
        <f t="shared" si="0"/>
        <v>0</v>
      </c>
    </row>
    <row r="14" spans="1:10" ht="14.5">
      <c r="A14" s="12" t="s">
        <v>125</v>
      </c>
      <c r="B14" s="12" t="s">
        <v>126</v>
      </c>
      <c r="C14" s="12" t="s">
        <v>82</v>
      </c>
      <c r="D14" s="12" t="s">
        <v>83</v>
      </c>
      <c r="E14" s="23">
        <v>0.16</v>
      </c>
      <c r="F14" s="23">
        <v>0.4</v>
      </c>
      <c r="G14" s="54">
        <f>'01_主数据假设'!$B$7*'01_主数据假设'!$B$8*E14*F14</f>
        <v>768</v>
      </c>
      <c r="H14" s="45">
        <f>'01_主数据假设'!$B$9</f>
        <v>0.36</v>
      </c>
      <c r="I14" s="54">
        <f>ROUND(SUMIFS('03_销售预算'!$U$5:$U$52,'03_销售预算'!$A$5:$A$52,A14,'03_销售预算'!$C$5:$C$52,C14),1)</f>
        <v>768</v>
      </c>
      <c r="J14" s="54">
        <f t="shared" si="0"/>
        <v>0</v>
      </c>
    </row>
    <row r="15" spans="1:10" ht="14.5">
      <c r="A15" s="12" t="s">
        <v>125</v>
      </c>
      <c r="B15" s="12" t="s">
        <v>126</v>
      </c>
      <c r="C15" s="12" t="s">
        <v>88</v>
      </c>
      <c r="D15" s="12" t="s">
        <v>89</v>
      </c>
      <c r="E15" s="23">
        <v>0.16</v>
      </c>
      <c r="F15" s="23">
        <v>0.35</v>
      </c>
      <c r="G15" s="54">
        <f>'01_主数据假设'!$B$7*'01_主数据假设'!$B$8*E15*F15</f>
        <v>672</v>
      </c>
      <c r="H15" s="45">
        <f>'01_主数据假设'!$B$9</f>
        <v>0.36</v>
      </c>
      <c r="I15" s="54">
        <f>ROUND(SUMIFS('03_销售预算'!$U$5:$U$52,'03_销售预算'!$A$5:$A$52,A15,'03_销售预算'!$C$5:$C$52,C15),1)</f>
        <v>672</v>
      </c>
      <c r="J15" s="54">
        <f t="shared" si="0"/>
        <v>0</v>
      </c>
    </row>
    <row r="16" spans="1:10" ht="14.5">
      <c r="A16" s="12" t="s">
        <v>125</v>
      </c>
      <c r="B16" s="12" t="s">
        <v>126</v>
      </c>
      <c r="C16" s="12" t="s">
        <v>93</v>
      </c>
      <c r="D16" s="12" t="s">
        <v>94</v>
      </c>
      <c r="E16" s="23">
        <v>0.16</v>
      </c>
      <c r="F16" s="23">
        <v>0.25</v>
      </c>
      <c r="G16" s="54">
        <f>'01_主数据假设'!$B$7*'01_主数据假设'!$B$8*E16*F16</f>
        <v>480</v>
      </c>
      <c r="H16" s="45">
        <f>'01_主数据假设'!$B$9</f>
        <v>0.36</v>
      </c>
      <c r="I16" s="54">
        <f>ROUND(SUMIFS('03_销售预算'!$U$5:$U$52,'03_销售预算'!$A$5:$A$52,A16,'03_销售预算'!$C$5:$C$52,C16),1)</f>
        <v>480</v>
      </c>
      <c r="J16" s="54">
        <f t="shared" si="0"/>
        <v>0</v>
      </c>
    </row>
    <row r="17" spans="1:10" ht="16.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6.5">
      <c r="A18" s="70" t="s">
        <v>200</v>
      </c>
      <c r="B18" s="70"/>
      <c r="C18" s="70"/>
      <c r="D18" s="70"/>
      <c r="E18" s="70"/>
      <c r="F18" s="70"/>
      <c r="G18" s="3"/>
      <c r="H18" s="3"/>
      <c r="I18" s="3"/>
      <c r="J18" s="3"/>
    </row>
    <row r="19" spans="1:10" ht="16.5">
      <c r="A19" s="4" t="s">
        <v>129</v>
      </c>
      <c r="B19" s="5" t="s">
        <v>201</v>
      </c>
      <c r="C19" s="5" t="s">
        <v>79</v>
      </c>
      <c r="D19" s="6" t="s">
        <v>70</v>
      </c>
      <c r="E19" s="3"/>
      <c r="F19" s="3"/>
      <c r="G19" s="3"/>
      <c r="H19" s="3"/>
      <c r="I19" s="3"/>
      <c r="J19" s="3"/>
    </row>
    <row r="20" spans="1:10" ht="16.5">
      <c r="A20" s="10" t="s">
        <v>202</v>
      </c>
      <c r="B20" s="18">
        <f>'01_主数据假设'!$B$7</f>
        <v>12000</v>
      </c>
      <c r="C20" s="18">
        <f>SUM(G5:G16)</f>
        <v>12000</v>
      </c>
      <c r="D20" s="10" t="s">
        <v>203</v>
      </c>
      <c r="E20" s="3"/>
      <c r="F20" s="3"/>
      <c r="G20" s="3"/>
      <c r="H20" s="3"/>
      <c r="I20" s="3"/>
      <c r="J20" s="3"/>
    </row>
    <row r="21" spans="1:10" ht="16.5">
      <c r="A21" s="12" t="s">
        <v>198</v>
      </c>
      <c r="B21" s="21">
        <f>SUM(I5:I16)</f>
        <v>12000</v>
      </c>
      <c r="C21" s="21">
        <f>SUM(I5:I16)</f>
        <v>12000</v>
      </c>
      <c r="D21" s="12" t="s">
        <v>204</v>
      </c>
      <c r="E21" s="3"/>
      <c r="F21" s="3"/>
      <c r="G21" s="3"/>
      <c r="H21" s="3"/>
      <c r="I21" s="3"/>
      <c r="J21" s="3"/>
    </row>
    <row r="22" spans="1:10" ht="16.5">
      <c r="A22" s="12" t="s">
        <v>205</v>
      </c>
      <c r="B22" s="21">
        <f>C21-C20</f>
        <v>0</v>
      </c>
      <c r="C22" s="21">
        <f>SUM(J5:J16)</f>
        <v>0</v>
      </c>
      <c r="D22" s="12" t="s">
        <v>206</v>
      </c>
      <c r="E22" s="3"/>
      <c r="F22" s="3"/>
      <c r="G22" s="3"/>
      <c r="H22" s="3"/>
      <c r="I22" s="3"/>
      <c r="J22" s="3"/>
    </row>
    <row r="24" spans="1:10" ht="11" customHeight="1">
      <c r="A24" s="9"/>
      <c r="B24" s="9"/>
      <c r="C24" s="9"/>
      <c r="D24" s="9"/>
      <c r="E24" s="9"/>
      <c r="F24" s="9"/>
      <c r="G24" s="9"/>
      <c r="H24" s="9"/>
      <c r="I24" s="9"/>
      <c r="J24" s="9"/>
    </row>
  </sheetData>
  <mergeCells count="3">
    <mergeCell ref="A1:J1"/>
    <mergeCell ref="A2:J2"/>
    <mergeCell ref="A18:F18"/>
  </mergeCells>
  <phoneticPr fontId="20" type="noConversion"/>
  <conditionalFormatting sqref="J5:J16">
    <cfRule type="colorScale" priority="1">
      <colorScale>
        <cfvo type="min"/>
        <cfvo type="percentile" val="50"/>
        <cfvo type="max"/>
        <color rgb="FFFDECEC"/>
        <color rgb="FFFFF4E5"/>
        <color rgb="FFE8F7F0"/>
      </colorScale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2"/>
  <sheetViews>
    <sheetView showGridLines="0" workbookViewId="0">
      <selection sqref="A1:W1"/>
    </sheetView>
  </sheetViews>
  <sheetFormatPr defaultColWidth="9" defaultRowHeight="14"/>
  <cols>
    <col min="1" max="1" width="12" customWidth="1"/>
    <col min="2" max="2" width="10" customWidth="1"/>
    <col min="3" max="3" width="13" customWidth="1"/>
    <col min="4" max="4" width="18" customWidth="1"/>
    <col min="5" max="5" width="13" customWidth="1"/>
    <col min="6" max="6" width="12" customWidth="1"/>
    <col min="7" max="7" width="14" customWidth="1"/>
    <col min="8" max="19" width="10" customWidth="1"/>
    <col min="20" max="20" width="15" customWidth="1"/>
    <col min="21" max="22" width="17" customWidth="1"/>
    <col min="23" max="23" width="15" customWidth="1"/>
  </cols>
  <sheetData>
    <row r="1" spans="1:23" ht="34" customHeight="1">
      <c r="A1" s="65" t="s">
        <v>207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26" customHeight="1">
      <c r="A2" s="66" t="s">
        <v>208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3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3">
      <c r="A4" s="4" t="s">
        <v>104</v>
      </c>
      <c r="B4" s="5" t="s">
        <v>105</v>
      </c>
      <c r="C4" s="5" t="s">
        <v>71</v>
      </c>
      <c r="D4" s="5" t="s">
        <v>194</v>
      </c>
      <c r="E4" s="5" t="s">
        <v>100</v>
      </c>
      <c r="F4" s="5" t="s">
        <v>209</v>
      </c>
      <c r="G4" s="5" t="s">
        <v>210</v>
      </c>
      <c r="H4" s="5" t="s">
        <v>130</v>
      </c>
      <c r="I4" s="5" t="s">
        <v>131</v>
      </c>
      <c r="J4" s="5" t="s">
        <v>132</v>
      </c>
      <c r="K4" s="5" t="s">
        <v>133</v>
      </c>
      <c r="L4" s="5" t="s">
        <v>134</v>
      </c>
      <c r="M4" s="5" t="s">
        <v>135</v>
      </c>
      <c r="N4" s="5" t="s">
        <v>136</v>
      </c>
      <c r="O4" s="5" t="s">
        <v>137</v>
      </c>
      <c r="P4" s="5" t="s">
        <v>138</v>
      </c>
      <c r="Q4" s="5" t="s">
        <v>139</v>
      </c>
      <c r="R4" s="5" t="s">
        <v>140</v>
      </c>
      <c r="S4" s="5" t="s">
        <v>141</v>
      </c>
      <c r="T4" s="5" t="s">
        <v>211</v>
      </c>
      <c r="U4" s="5" t="s">
        <v>212</v>
      </c>
      <c r="V4" s="5" t="s">
        <v>213</v>
      </c>
      <c r="W4" s="6" t="s">
        <v>199</v>
      </c>
    </row>
    <row r="5" spans="1:23" ht="14.5">
      <c r="A5" s="10" t="s">
        <v>110</v>
      </c>
      <c r="B5" s="10" t="s">
        <v>111</v>
      </c>
      <c r="C5" s="10" t="s">
        <v>82</v>
      </c>
      <c r="D5" s="10" t="s">
        <v>83</v>
      </c>
      <c r="E5" s="10" t="s">
        <v>109</v>
      </c>
      <c r="F5" s="42">
        <f>SUMIFS('01_主数据假设'!$K$6:$K$8,'01_主数据假设'!$H$6:$H$8,C5)*SUMIFS('01_主数据假设'!$K$12:$K$15,'01_主数据假设'!$I$12:$I$15,E5)</f>
        <v>1234.05</v>
      </c>
      <c r="G5" s="42">
        <f>SUMIFS('01_主数据假设'!$O$6:$O$8,'01_主数据假设'!$H$6:$H$8,C5)</f>
        <v>481</v>
      </c>
      <c r="H5" s="42">
        <f>SUMIFS('02_目标分解'!$G$5:$G$16,'02_目标分解'!$A$5:$A$16,A5,'02_目标分解'!$C$5:$C$16,C5)*10000*0.3*'01_主数据假设'!B$21/F5</f>
        <v>277.71970341558301</v>
      </c>
      <c r="I5" s="42">
        <f>SUMIFS('02_目标分解'!$G$5:$G$16,'02_目标分解'!$A$5:$A$16,A5,'02_目标分解'!$C$5:$C$16,C5)*10000*0.3*'01_主数据假设'!C$21/F5</f>
        <v>238.04546007050001</v>
      </c>
      <c r="J5" s="42">
        <f>SUMIFS('02_目标分解'!$G$5:$G$16,'02_目标分解'!$A$5:$A$16,A5,'02_目标分解'!$C$5:$C$16,C5)*10000*0.3*'01_主数据假设'!D$21/F5</f>
        <v>277.71970341558301</v>
      </c>
      <c r="K5" s="42">
        <f>SUMIFS('02_目标分解'!$G$5:$G$16,'02_目标分解'!$A$5:$A$16,A5,'02_目标分解'!$C$5:$C$16,C5)*10000*0.3*'01_主数据假设'!E$21/F5</f>
        <v>297.55682508812401</v>
      </c>
      <c r="L5" s="42">
        <f>SUMIFS('02_目标分解'!$G$5:$G$16,'02_目标分解'!$A$5:$A$16,A5,'02_目标分解'!$C$5:$C$16,C5)*10000*0.3*'01_主数据假设'!F$21/F5</f>
        <v>297.55682508812401</v>
      </c>
      <c r="M5" s="42">
        <f>SUMIFS('02_目标分解'!$G$5:$G$16,'02_目标分解'!$A$5:$A$16,A5,'02_目标分解'!$C$5:$C$16,C5)*10000*0.3*'01_主数据假设'!G$21/F5</f>
        <v>317.39394676066598</v>
      </c>
      <c r="N5" s="42">
        <f>SUMIFS('02_目标分解'!$G$5:$G$16,'02_目标分解'!$A$5:$A$16,A5,'02_目标分解'!$C$5:$C$16,C5)*10000*0.3*'01_主数据假设'!H$21/F5</f>
        <v>317.39394676066598</v>
      </c>
      <c r="O5" s="42">
        <f>SUMIFS('02_目标分解'!$G$5:$G$16,'02_目标分解'!$A$5:$A$16,A5,'02_目标分解'!$C$5:$C$16,C5)*10000*0.3*'01_主数据假设'!I$21/F5</f>
        <v>317.39394676066598</v>
      </c>
      <c r="P5" s="42">
        <f>SUMIFS('02_目标分解'!$G$5:$G$16,'02_目标分解'!$A$5:$A$16,A5,'02_目标分解'!$C$5:$C$16,C5)*10000*0.3*'01_主数据假设'!J$21/F5</f>
        <v>337.23106843320801</v>
      </c>
      <c r="Q5" s="42">
        <f>SUMIFS('02_目标分解'!$G$5:$G$16,'02_目标分解'!$A$5:$A$16,A5,'02_目标分解'!$C$5:$C$16,C5)*10000*0.3*'01_主数据假设'!K$21/F5</f>
        <v>357.06819010574901</v>
      </c>
      <c r="R5" s="42">
        <f>SUMIFS('02_目标分解'!$G$5:$G$16,'02_目标分解'!$A$5:$A$16,A5,'02_目标分解'!$C$5:$C$16,C5)*10000*0.3*'01_主数据假设'!L$21/F5</f>
        <v>436.41667679591598</v>
      </c>
      <c r="S5" s="42">
        <f>SUMIFS('02_目标分解'!$G$5:$G$16,'02_目标分解'!$A$5:$A$16,A5,'02_目标分解'!$C$5:$C$16,C5)*10000*0.3*'01_主数据假设'!M$21/F5</f>
        <v>495.92804181354097</v>
      </c>
      <c r="T5" s="42">
        <f t="shared" ref="T5:T52" si="0">SUM(H5:S5)</f>
        <v>3967.42433450833</v>
      </c>
      <c r="U5" s="53">
        <f t="shared" ref="U5:U52" si="1">T5*F5/10000</f>
        <v>489.6</v>
      </c>
      <c r="V5" s="53">
        <f>SUMIFS('02_目标分解'!$G$5:$G$16,'02_目标分解'!$A$5:$A$16,A5,'02_目标分解'!$C$5:$C$16,C5)*0.3</f>
        <v>489.6</v>
      </c>
      <c r="W5" s="53">
        <f t="shared" ref="W5:W52" si="2">ROUND(U5-V5,1)</f>
        <v>0</v>
      </c>
    </row>
    <row r="6" spans="1:23" ht="14.5">
      <c r="A6" s="12" t="s">
        <v>110</v>
      </c>
      <c r="B6" s="12" t="s">
        <v>111</v>
      </c>
      <c r="C6" s="12" t="s">
        <v>82</v>
      </c>
      <c r="D6" s="12" t="s">
        <v>83</v>
      </c>
      <c r="E6" s="12" t="s">
        <v>114</v>
      </c>
      <c r="F6" s="44">
        <f>SUMIFS('01_主数据假设'!$K$6:$K$8,'01_主数据假设'!$H$6:$H$8,C6)*SUMIFS('01_主数据假设'!$K$12:$K$15,'01_主数据假设'!$I$12:$I$15,E6)</f>
        <v>1169.0999999999999</v>
      </c>
      <c r="G6" s="44">
        <f>SUMIFS('01_主数据假设'!$O$6:$O$8,'01_主数据假设'!$H$6:$H$8,C6)</f>
        <v>481</v>
      </c>
      <c r="H6" s="44">
        <f>SUMIFS('02_目标分解'!$G$5:$G$16,'02_目标分解'!$A$5:$A$16,A6,'02_目标分解'!$C$5:$C$16,C6)*10000*0.35*'01_主数据假设'!B$21/F6</f>
        <v>342.00667179881998</v>
      </c>
      <c r="I6" s="44">
        <f>SUMIFS('02_目标分解'!$G$5:$G$16,'02_目标分解'!$A$5:$A$16,A6,'02_目标分解'!$C$5:$C$16,C6)*10000*0.35*'01_主数据假设'!C$21/F6</f>
        <v>293.14857582756002</v>
      </c>
      <c r="J6" s="44">
        <f>SUMIFS('02_目标分解'!$G$5:$G$16,'02_目标分解'!$A$5:$A$16,A6,'02_目标分解'!$C$5:$C$16,C6)*10000*0.35*'01_主数据假设'!D$21/F6</f>
        <v>342.00667179881998</v>
      </c>
      <c r="K6" s="44">
        <f>SUMIFS('02_目标分解'!$G$5:$G$16,'02_目标分解'!$A$5:$A$16,A6,'02_目标分解'!$C$5:$C$16,C6)*10000*0.35*'01_主数据假设'!E$21/F6</f>
        <v>366.43571978444999</v>
      </c>
      <c r="L6" s="44">
        <f>SUMIFS('02_目标分解'!$G$5:$G$16,'02_目标分解'!$A$5:$A$16,A6,'02_目标分解'!$C$5:$C$16,C6)*10000*0.35*'01_主数据假设'!F$21/F6</f>
        <v>366.43571978444999</v>
      </c>
      <c r="M6" s="44">
        <f>SUMIFS('02_目标分解'!$G$5:$G$16,'02_目标分解'!$A$5:$A$16,A6,'02_目标分解'!$C$5:$C$16,C6)*10000*0.35*'01_主数据假设'!G$21/F6</f>
        <v>390.86476777007903</v>
      </c>
      <c r="N6" s="44">
        <f>SUMIFS('02_目标分解'!$G$5:$G$16,'02_目标分解'!$A$5:$A$16,A6,'02_目标分解'!$C$5:$C$16,C6)*10000*0.35*'01_主数据假设'!H$21/F6</f>
        <v>390.86476777007903</v>
      </c>
      <c r="O6" s="44">
        <f>SUMIFS('02_目标分解'!$G$5:$G$16,'02_目标分解'!$A$5:$A$16,A6,'02_目标分解'!$C$5:$C$16,C6)*10000*0.35*'01_主数据假设'!I$21/F6</f>
        <v>390.86476777007903</v>
      </c>
      <c r="P6" s="44">
        <f>SUMIFS('02_目标分解'!$G$5:$G$16,'02_目标分解'!$A$5:$A$16,A6,'02_目标分解'!$C$5:$C$16,C6)*10000*0.35*'01_主数据假设'!J$21/F6</f>
        <v>415.29381575571</v>
      </c>
      <c r="Q6" s="44">
        <f>SUMIFS('02_目标分解'!$G$5:$G$16,'02_目标分解'!$A$5:$A$16,A6,'02_目标分解'!$C$5:$C$16,C6)*10000*0.35*'01_主数据假设'!K$21/F6</f>
        <v>439.72286374133898</v>
      </c>
      <c r="R6" s="44">
        <f>SUMIFS('02_目标分解'!$G$5:$G$16,'02_目标分解'!$A$5:$A$16,A6,'02_目标分解'!$C$5:$C$16,C6)*10000*0.35*'01_主数据假设'!L$21/F6</f>
        <v>537.43905568385901</v>
      </c>
      <c r="S6" s="44">
        <f>SUMIFS('02_目标分解'!$G$5:$G$16,'02_目标分解'!$A$5:$A$16,A6,'02_目标分解'!$C$5:$C$16,C6)*10000*0.35*'01_主数据假设'!M$21/F6</f>
        <v>610.72619964074897</v>
      </c>
      <c r="T6" s="44">
        <f t="shared" si="0"/>
        <v>4885.80959712599</v>
      </c>
      <c r="U6" s="54">
        <f t="shared" si="1"/>
        <v>571.20000000000005</v>
      </c>
      <c r="V6" s="54">
        <f>SUMIFS('02_目标分解'!$G$5:$G$16,'02_目标分解'!$A$5:$A$16,A6,'02_目标分解'!$C$5:$C$16,C6)*0.35</f>
        <v>571.20000000000005</v>
      </c>
      <c r="W6" s="54">
        <f t="shared" si="2"/>
        <v>0</v>
      </c>
    </row>
    <row r="7" spans="1:23" ht="14.5">
      <c r="A7" s="12" t="s">
        <v>110</v>
      </c>
      <c r="B7" s="12" t="s">
        <v>111</v>
      </c>
      <c r="C7" s="12" t="s">
        <v>82</v>
      </c>
      <c r="D7" s="12" t="s">
        <v>83</v>
      </c>
      <c r="E7" s="12" t="s">
        <v>119</v>
      </c>
      <c r="F7" s="44">
        <f>SUMIFS('01_主数据假设'!$K$6:$K$8,'01_主数据假设'!$H$6:$H$8,C7)*SUMIFS('01_主数据假设'!$K$12:$K$15,'01_主数据假设'!$I$12:$I$15,E7)</f>
        <v>1065.18</v>
      </c>
      <c r="G7" s="44">
        <f>SUMIFS('01_主数据假设'!$O$6:$O$8,'01_主数据假设'!$H$6:$H$8,C7)</f>
        <v>481</v>
      </c>
      <c r="H7" s="44">
        <f>SUMIFS('02_目标分解'!$G$5:$G$16,'02_目标分解'!$A$5:$A$16,A7,'02_目标分解'!$C$5:$C$16,C7)*10000*0.2*'01_主数据假设'!B$21/F7</f>
        <v>214.498957922605</v>
      </c>
      <c r="I7" s="44">
        <f>SUMIFS('02_目标分解'!$G$5:$G$16,'02_目标分解'!$A$5:$A$16,A7,'02_目标分解'!$C$5:$C$16,C7)*10000*0.2*'01_主数据假设'!C$21/F7</f>
        <v>183.85624964794701</v>
      </c>
      <c r="J7" s="44">
        <f>SUMIFS('02_目标分解'!$G$5:$G$16,'02_目标分解'!$A$5:$A$16,A7,'02_目标分解'!$C$5:$C$16,C7)*10000*0.2*'01_主数据假设'!D$21/F7</f>
        <v>214.498957922605</v>
      </c>
      <c r="K7" s="44">
        <f>SUMIFS('02_目标分解'!$G$5:$G$16,'02_目标分解'!$A$5:$A$16,A7,'02_目标分解'!$C$5:$C$16,C7)*10000*0.2*'01_主数据假设'!E$21/F7</f>
        <v>229.820312059934</v>
      </c>
      <c r="L7" s="44">
        <f>SUMIFS('02_目标分解'!$G$5:$G$16,'02_目标分解'!$A$5:$A$16,A7,'02_目标分解'!$C$5:$C$16,C7)*10000*0.2*'01_主数据假设'!F$21/F7</f>
        <v>229.820312059934</v>
      </c>
      <c r="M7" s="44">
        <f>SUMIFS('02_目标分解'!$G$5:$G$16,'02_目标分解'!$A$5:$A$16,A7,'02_目标分解'!$C$5:$C$16,C7)*10000*0.2*'01_主数据假设'!G$21/F7</f>
        <v>245.14166619726299</v>
      </c>
      <c r="N7" s="44">
        <f>SUMIFS('02_目标分解'!$G$5:$G$16,'02_目标分解'!$A$5:$A$16,A7,'02_目标分解'!$C$5:$C$16,C7)*10000*0.2*'01_主数据假设'!H$21/F7</f>
        <v>245.14166619726299</v>
      </c>
      <c r="O7" s="44">
        <f>SUMIFS('02_目标分解'!$G$5:$G$16,'02_目标分解'!$A$5:$A$16,A7,'02_目标分解'!$C$5:$C$16,C7)*10000*0.2*'01_主数据假设'!I$21/F7</f>
        <v>245.14166619726299</v>
      </c>
      <c r="P7" s="44">
        <f>SUMIFS('02_目标分解'!$G$5:$G$16,'02_目标分解'!$A$5:$A$16,A7,'02_目标分解'!$C$5:$C$16,C7)*10000*0.2*'01_主数据假设'!J$21/F7</f>
        <v>260.46302033459102</v>
      </c>
      <c r="Q7" s="44">
        <f>SUMIFS('02_目标分解'!$G$5:$G$16,'02_目标分解'!$A$5:$A$16,A7,'02_目标分解'!$C$5:$C$16,C7)*10000*0.2*'01_主数据假设'!K$21/F7</f>
        <v>275.78437447191999</v>
      </c>
      <c r="R7" s="44">
        <f>SUMIFS('02_目标分解'!$G$5:$G$16,'02_目标分解'!$A$5:$A$16,A7,'02_目标分解'!$C$5:$C$16,C7)*10000*0.2*'01_主数据假设'!L$21/F7</f>
        <v>337.06979102123597</v>
      </c>
      <c r="S7" s="44">
        <f>SUMIFS('02_目标分解'!$G$5:$G$16,'02_目标分解'!$A$5:$A$16,A7,'02_目标分解'!$C$5:$C$16,C7)*10000*0.2*'01_主数据假设'!M$21/F7</f>
        <v>383.03385343322299</v>
      </c>
      <c r="T7" s="44">
        <f t="shared" si="0"/>
        <v>3064.2708274657798</v>
      </c>
      <c r="U7" s="54">
        <f t="shared" si="1"/>
        <v>326.39999999999998</v>
      </c>
      <c r="V7" s="54">
        <f>SUMIFS('02_目标分解'!$G$5:$G$16,'02_目标分解'!$A$5:$A$16,A7,'02_目标分解'!$C$5:$C$16,C7)*0.2</f>
        <v>326.39999999999998</v>
      </c>
      <c r="W7" s="54">
        <f t="shared" si="2"/>
        <v>0</v>
      </c>
    </row>
    <row r="8" spans="1:23" ht="14.5">
      <c r="A8" s="12" t="s">
        <v>110</v>
      </c>
      <c r="B8" s="12" t="s">
        <v>111</v>
      </c>
      <c r="C8" s="12" t="s">
        <v>82</v>
      </c>
      <c r="D8" s="12" t="s">
        <v>83</v>
      </c>
      <c r="E8" s="12" t="s">
        <v>124</v>
      </c>
      <c r="F8" s="44">
        <f>SUMIFS('01_主数据假设'!$K$6:$K$8,'01_主数据假设'!$H$6:$H$8,C8)*SUMIFS('01_主数据假设'!$K$12:$K$15,'01_主数据假设'!$I$12:$I$15,E8)</f>
        <v>935.28</v>
      </c>
      <c r="G8" s="44">
        <f>SUMIFS('01_主数据假设'!$O$6:$O$8,'01_主数据假设'!$H$6:$H$8,C8)</f>
        <v>481</v>
      </c>
      <c r="H8" s="44">
        <f>SUMIFS('02_目标分解'!$G$5:$G$16,'02_目标分解'!$A$5:$A$16,A8,'02_目标分解'!$C$5:$C$16,C8)*10000*0.15*'01_主数据假设'!B$21/F8</f>
        <v>183.21785989222499</v>
      </c>
      <c r="I8" s="44">
        <f>SUMIFS('02_目标分解'!$G$5:$G$16,'02_目标分解'!$A$5:$A$16,A8,'02_目标分解'!$C$5:$C$16,C8)*10000*0.15*'01_主数据假设'!C$21/F8</f>
        <v>157.043879907621</v>
      </c>
      <c r="J8" s="44">
        <f>SUMIFS('02_目标分解'!$G$5:$G$16,'02_目标分解'!$A$5:$A$16,A8,'02_目标分解'!$C$5:$C$16,C8)*10000*0.15*'01_主数据假设'!D$21/F8</f>
        <v>183.21785989222499</v>
      </c>
      <c r="K8" s="44">
        <f>SUMIFS('02_目标分解'!$G$5:$G$16,'02_目标分解'!$A$5:$A$16,A8,'02_目标分解'!$C$5:$C$16,C8)*10000*0.15*'01_主数据假设'!E$21/F8</f>
        <v>196.30484988452699</v>
      </c>
      <c r="L8" s="44">
        <f>SUMIFS('02_目标分解'!$G$5:$G$16,'02_目标分解'!$A$5:$A$16,A8,'02_目标分解'!$C$5:$C$16,C8)*10000*0.15*'01_主数据假设'!F$21/F8</f>
        <v>196.30484988452699</v>
      </c>
      <c r="M8" s="44">
        <f>SUMIFS('02_目标分解'!$G$5:$G$16,'02_目标分解'!$A$5:$A$16,A8,'02_目标分解'!$C$5:$C$16,C8)*10000*0.15*'01_主数据假设'!G$21/F8</f>
        <v>209.39183987682799</v>
      </c>
      <c r="N8" s="44">
        <f>SUMIFS('02_目标分解'!$G$5:$G$16,'02_目标分解'!$A$5:$A$16,A8,'02_目标分解'!$C$5:$C$16,C8)*10000*0.15*'01_主数据假设'!H$21/F8</f>
        <v>209.39183987682799</v>
      </c>
      <c r="O8" s="44">
        <f>SUMIFS('02_目标分解'!$G$5:$G$16,'02_目标分解'!$A$5:$A$16,A8,'02_目标分解'!$C$5:$C$16,C8)*10000*0.15*'01_主数据假设'!I$21/F8</f>
        <v>209.39183987682799</v>
      </c>
      <c r="P8" s="44">
        <f>SUMIFS('02_目标分解'!$G$5:$G$16,'02_目标分解'!$A$5:$A$16,A8,'02_目标分解'!$C$5:$C$16,C8)*10000*0.15*'01_主数据假设'!J$21/F8</f>
        <v>222.47882986913001</v>
      </c>
      <c r="Q8" s="44">
        <f>SUMIFS('02_目标分解'!$G$5:$G$16,'02_目标分解'!$A$5:$A$16,A8,'02_目标分解'!$C$5:$C$16,C8)*10000*0.15*'01_主数据假设'!K$21/F8</f>
        <v>235.565819861432</v>
      </c>
      <c r="R8" s="44">
        <f>SUMIFS('02_目标分解'!$G$5:$G$16,'02_目标分解'!$A$5:$A$16,A8,'02_目标分解'!$C$5:$C$16,C8)*10000*0.15*'01_主数据假设'!L$21/F8</f>
        <v>287.91377983063899</v>
      </c>
      <c r="S8" s="44">
        <f>SUMIFS('02_目标分解'!$G$5:$G$16,'02_目标分解'!$A$5:$A$16,A8,'02_目标分解'!$C$5:$C$16,C8)*10000*0.15*'01_主数据假设'!M$21/F8</f>
        <v>327.174749807544</v>
      </c>
      <c r="T8" s="44">
        <f t="shared" si="0"/>
        <v>2617.3979984603502</v>
      </c>
      <c r="U8" s="54">
        <f t="shared" si="1"/>
        <v>244.8</v>
      </c>
      <c r="V8" s="54">
        <f>SUMIFS('02_目标分解'!$G$5:$G$16,'02_目标分解'!$A$5:$A$16,A8,'02_目标分解'!$C$5:$C$16,C8)*0.15</f>
        <v>244.8</v>
      </c>
      <c r="W8" s="54">
        <f t="shared" si="2"/>
        <v>0</v>
      </c>
    </row>
    <row r="9" spans="1:23" ht="14.5">
      <c r="A9" s="12" t="s">
        <v>110</v>
      </c>
      <c r="B9" s="12" t="s">
        <v>111</v>
      </c>
      <c r="C9" s="12" t="s">
        <v>88</v>
      </c>
      <c r="D9" s="12" t="s">
        <v>89</v>
      </c>
      <c r="E9" s="12" t="s">
        <v>109</v>
      </c>
      <c r="F9" s="44">
        <f>SUMIFS('01_主数据假设'!$K$6:$K$8,'01_主数据假设'!$H$6:$H$8,C9)*SUMIFS('01_主数据假设'!$K$12:$K$15,'01_主数据假设'!$I$12:$I$15,E9)</f>
        <v>854.05</v>
      </c>
      <c r="G9" s="44">
        <f>SUMIFS('01_主数据假设'!$O$6:$O$8,'01_主数据假设'!$H$6:$H$8,C9)</f>
        <v>512</v>
      </c>
      <c r="H9" s="44">
        <f>SUMIFS('02_目标分解'!$G$5:$G$16,'02_目标分解'!$A$5:$A$16,A9,'02_目标分解'!$C$5:$C$16,C9)*10000*0.3*'01_主数据假设'!B$21/F9</f>
        <v>351.12698319770499</v>
      </c>
      <c r="I9" s="44">
        <f>SUMIFS('02_目标分解'!$G$5:$G$16,'02_目标分解'!$A$5:$A$16,A9,'02_目标分解'!$C$5:$C$16,C9)*10000*0.3*'01_主数据假设'!C$21/F9</f>
        <v>300.965985598033</v>
      </c>
      <c r="J9" s="44">
        <f>SUMIFS('02_目标分解'!$G$5:$G$16,'02_目标分解'!$A$5:$A$16,A9,'02_目标分解'!$C$5:$C$16,C9)*10000*0.3*'01_主数据假设'!D$21/F9</f>
        <v>351.12698319770499</v>
      </c>
      <c r="K9" s="44">
        <f>SUMIFS('02_目标分解'!$G$5:$G$16,'02_目标分解'!$A$5:$A$16,A9,'02_目标分解'!$C$5:$C$16,C9)*10000*0.3*'01_主数据假设'!E$21/F9</f>
        <v>376.20748199754098</v>
      </c>
      <c r="L9" s="44">
        <f>SUMIFS('02_目标分解'!$G$5:$G$16,'02_目标分解'!$A$5:$A$16,A9,'02_目标分解'!$C$5:$C$16,C9)*10000*0.3*'01_主数据假设'!F$21/F9</f>
        <v>376.20748199754098</v>
      </c>
      <c r="M9" s="44">
        <f>SUMIFS('02_目标分解'!$G$5:$G$16,'02_目标分解'!$A$5:$A$16,A9,'02_目标分解'!$C$5:$C$16,C9)*10000*0.3*'01_主数据假设'!G$21/F9</f>
        <v>401.28798079737697</v>
      </c>
      <c r="N9" s="44">
        <f>SUMIFS('02_目标分解'!$G$5:$G$16,'02_目标分解'!$A$5:$A$16,A9,'02_目标分解'!$C$5:$C$16,C9)*10000*0.3*'01_主数据假设'!H$21/F9</f>
        <v>401.28798079737697</v>
      </c>
      <c r="O9" s="44">
        <f>SUMIFS('02_目标分解'!$G$5:$G$16,'02_目标分解'!$A$5:$A$16,A9,'02_目标分解'!$C$5:$C$16,C9)*10000*0.3*'01_主数据假设'!I$21/F9</f>
        <v>401.28798079737697</v>
      </c>
      <c r="P9" s="44">
        <f>SUMIFS('02_目标分解'!$G$5:$G$16,'02_目标分解'!$A$5:$A$16,A9,'02_目标分解'!$C$5:$C$16,C9)*10000*0.3*'01_主数据假设'!J$21/F9</f>
        <v>426.36847959721302</v>
      </c>
      <c r="Q9" s="44">
        <f>SUMIFS('02_目标分解'!$G$5:$G$16,'02_目标分解'!$A$5:$A$16,A9,'02_目标分解'!$C$5:$C$16,C9)*10000*0.3*'01_主数据假设'!K$21/F9</f>
        <v>451.44897839704902</v>
      </c>
      <c r="R9" s="44">
        <f>SUMIFS('02_目标分解'!$G$5:$G$16,'02_目标分解'!$A$5:$A$16,A9,'02_目标分解'!$C$5:$C$16,C9)*10000*0.3*'01_主数据假设'!L$21/F9</f>
        <v>551.77097359639401</v>
      </c>
      <c r="S9" s="44">
        <f>SUMIFS('02_目标分解'!$G$5:$G$16,'02_目标分解'!$A$5:$A$16,A9,'02_目标分解'!$C$5:$C$16,C9)*10000*0.3*'01_主数据假设'!M$21/F9</f>
        <v>627.01246999590205</v>
      </c>
      <c r="T9" s="44">
        <f t="shared" si="0"/>
        <v>5016.0997599672201</v>
      </c>
      <c r="U9" s="54">
        <f t="shared" si="1"/>
        <v>428.4</v>
      </c>
      <c r="V9" s="54">
        <f>SUMIFS('02_目标分解'!$G$5:$G$16,'02_目标分解'!$A$5:$A$16,A9,'02_目标分解'!$C$5:$C$16,C9)*0.3</f>
        <v>428.4</v>
      </c>
      <c r="W9" s="54">
        <f t="shared" si="2"/>
        <v>0</v>
      </c>
    </row>
    <row r="10" spans="1:23" ht="14.5">
      <c r="A10" s="12" t="s">
        <v>110</v>
      </c>
      <c r="B10" s="12" t="s">
        <v>111</v>
      </c>
      <c r="C10" s="12" t="s">
        <v>88</v>
      </c>
      <c r="D10" s="12" t="s">
        <v>89</v>
      </c>
      <c r="E10" s="12" t="s">
        <v>114</v>
      </c>
      <c r="F10" s="44">
        <f>SUMIFS('01_主数据假设'!$K$6:$K$8,'01_主数据假设'!$H$6:$H$8,C10)*SUMIFS('01_主数据假设'!$K$12:$K$15,'01_主数据假设'!$I$12:$I$15,E10)</f>
        <v>809.1</v>
      </c>
      <c r="G10" s="44">
        <f>SUMIFS('01_主数据假设'!$O$6:$O$8,'01_主数据假设'!$H$6:$H$8,C10)</f>
        <v>512</v>
      </c>
      <c r="H10" s="44">
        <f>SUMIFS('02_目标分解'!$G$5:$G$16,'02_目标分解'!$A$5:$A$16,A10,'02_目标分解'!$C$5:$C$16,C10)*10000*0.35*'01_主数据假设'!B$21/F10</f>
        <v>432.40637745643301</v>
      </c>
      <c r="I10" s="44">
        <f>SUMIFS('02_目标分解'!$G$5:$G$16,'02_目标分解'!$A$5:$A$16,A10,'02_目标分解'!$C$5:$C$16,C10)*10000*0.35*'01_主数据假设'!C$21/F10</f>
        <v>370.63403781980003</v>
      </c>
      <c r="J10" s="44">
        <f>SUMIFS('02_目标分解'!$G$5:$G$16,'02_目标分解'!$A$5:$A$16,A10,'02_目标分解'!$C$5:$C$16,C10)*10000*0.35*'01_主数据假设'!D$21/F10</f>
        <v>432.40637745643301</v>
      </c>
      <c r="K10" s="44">
        <f>SUMIFS('02_目标分解'!$G$5:$G$16,'02_目标分解'!$A$5:$A$16,A10,'02_目标分解'!$C$5:$C$16,C10)*10000*0.35*'01_主数据假设'!E$21/F10</f>
        <v>463.29254727475001</v>
      </c>
      <c r="L10" s="44">
        <f>SUMIFS('02_目标分解'!$G$5:$G$16,'02_目标分解'!$A$5:$A$16,A10,'02_目标分解'!$C$5:$C$16,C10)*10000*0.35*'01_主数据假设'!F$21/F10</f>
        <v>463.29254727475001</v>
      </c>
      <c r="M10" s="44">
        <f>SUMIFS('02_目标分解'!$G$5:$G$16,'02_目标分解'!$A$5:$A$16,A10,'02_目标分解'!$C$5:$C$16,C10)*10000*0.35*'01_主数据假设'!G$21/F10</f>
        <v>494.17871709306598</v>
      </c>
      <c r="N10" s="44">
        <f>SUMIFS('02_目标分解'!$G$5:$G$16,'02_目标分解'!$A$5:$A$16,A10,'02_目标分解'!$C$5:$C$16,C10)*10000*0.35*'01_主数据假设'!H$21/F10</f>
        <v>494.17871709306598</v>
      </c>
      <c r="O10" s="44">
        <f>SUMIFS('02_目标分解'!$G$5:$G$16,'02_目标分解'!$A$5:$A$16,A10,'02_目标分解'!$C$5:$C$16,C10)*10000*0.35*'01_主数据假设'!I$21/F10</f>
        <v>494.17871709306598</v>
      </c>
      <c r="P10" s="44">
        <f>SUMIFS('02_目标分解'!$G$5:$G$16,'02_目标分解'!$A$5:$A$16,A10,'02_目标分解'!$C$5:$C$16,C10)*10000*0.35*'01_主数据假设'!J$21/F10</f>
        <v>525.06488691138304</v>
      </c>
      <c r="Q10" s="44">
        <f>SUMIFS('02_目标分解'!$G$5:$G$16,'02_目标分解'!$A$5:$A$16,A10,'02_目标分解'!$C$5:$C$16,C10)*10000*0.35*'01_主数据假设'!K$21/F10</f>
        <v>555.95105672969999</v>
      </c>
      <c r="R10" s="44">
        <f>SUMIFS('02_目标分解'!$G$5:$G$16,'02_目标分解'!$A$5:$A$16,A10,'02_目标分解'!$C$5:$C$16,C10)*10000*0.35*'01_主数据假设'!L$21/F10</f>
        <v>679.49573600296605</v>
      </c>
      <c r="S10" s="44">
        <f>SUMIFS('02_目标分解'!$G$5:$G$16,'02_目标分解'!$A$5:$A$16,A10,'02_目标分解'!$C$5:$C$16,C10)*10000*0.35*'01_主数据假设'!M$21/F10</f>
        <v>772.15424545791598</v>
      </c>
      <c r="T10" s="44">
        <f t="shared" si="0"/>
        <v>6177.2339636633296</v>
      </c>
      <c r="U10" s="54">
        <f t="shared" si="1"/>
        <v>499.8</v>
      </c>
      <c r="V10" s="54">
        <f>SUMIFS('02_目标分解'!$G$5:$G$16,'02_目标分解'!$A$5:$A$16,A10,'02_目标分解'!$C$5:$C$16,C10)*0.35</f>
        <v>499.8</v>
      </c>
      <c r="W10" s="54">
        <f t="shared" si="2"/>
        <v>0</v>
      </c>
    </row>
    <row r="11" spans="1:23" ht="14.5">
      <c r="A11" s="12" t="s">
        <v>110</v>
      </c>
      <c r="B11" s="12" t="s">
        <v>111</v>
      </c>
      <c r="C11" s="12" t="s">
        <v>88</v>
      </c>
      <c r="D11" s="12" t="s">
        <v>89</v>
      </c>
      <c r="E11" s="12" t="s">
        <v>119</v>
      </c>
      <c r="F11" s="44">
        <f>SUMIFS('01_主数据假设'!$K$6:$K$8,'01_主数据假设'!$H$6:$H$8,C11)*SUMIFS('01_主数据假设'!$K$12:$K$15,'01_主数据假设'!$I$12:$I$15,E11)</f>
        <v>737.18</v>
      </c>
      <c r="G11" s="44">
        <f>SUMIFS('01_主数据假设'!$O$6:$O$8,'01_主数据假设'!$H$6:$H$8,C11)</f>
        <v>512</v>
      </c>
      <c r="H11" s="44">
        <f>SUMIFS('02_目标分解'!$G$5:$G$16,'02_目标分解'!$A$5:$A$16,A11,'02_目标分解'!$C$5:$C$16,C11)*10000*0.2*'01_主数据假设'!B$21/F11</f>
        <v>271.19563742912197</v>
      </c>
      <c r="I11" s="44">
        <f>SUMIFS('02_目标分解'!$G$5:$G$16,'02_目标分解'!$A$5:$A$16,A11,'02_目标分解'!$C$5:$C$16,C11)*10000*0.2*'01_主数据假设'!C$21/F11</f>
        <v>232.453403510676</v>
      </c>
      <c r="J11" s="44">
        <f>SUMIFS('02_目标分解'!$G$5:$G$16,'02_目标分解'!$A$5:$A$16,A11,'02_目标分解'!$C$5:$C$16,C11)*10000*0.2*'01_主数据假设'!D$21/F11</f>
        <v>271.19563742912197</v>
      </c>
      <c r="K11" s="44">
        <f>SUMIFS('02_目标分解'!$G$5:$G$16,'02_目标分解'!$A$5:$A$16,A11,'02_目标分解'!$C$5:$C$16,C11)*10000*0.2*'01_主数据假设'!E$21/F11</f>
        <v>290.56675438834498</v>
      </c>
      <c r="L11" s="44">
        <f>SUMIFS('02_目标分解'!$G$5:$G$16,'02_目标分解'!$A$5:$A$16,A11,'02_目标分解'!$C$5:$C$16,C11)*10000*0.2*'01_主数据假设'!F$21/F11</f>
        <v>290.56675438834498</v>
      </c>
      <c r="M11" s="44">
        <f>SUMIFS('02_目标分解'!$G$5:$G$16,'02_目标分解'!$A$5:$A$16,A11,'02_目标分解'!$C$5:$C$16,C11)*10000*0.2*'01_主数据假设'!G$21/F11</f>
        <v>309.93787134756798</v>
      </c>
      <c r="N11" s="44">
        <f>SUMIFS('02_目标分解'!$G$5:$G$16,'02_目标分解'!$A$5:$A$16,A11,'02_目标分解'!$C$5:$C$16,C11)*10000*0.2*'01_主数据假设'!H$21/F11</f>
        <v>309.93787134756798</v>
      </c>
      <c r="O11" s="44">
        <f>SUMIFS('02_目标分解'!$G$5:$G$16,'02_目标分解'!$A$5:$A$16,A11,'02_目标分解'!$C$5:$C$16,C11)*10000*0.2*'01_主数据假设'!I$21/F11</f>
        <v>309.93787134756798</v>
      </c>
      <c r="P11" s="44">
        <f>SUMIFS('02_目标分解'!$G$5:$G$16,'02_目标分解'!$A$5:$A$16,A11,'02_目标分解'!$C$5:$C$16,C11)*10000*0.2*'01_主数据假设'!J$21/F11</f>
        <v>329.30898830679098</v>
      </c>
      <c r="Q11" s="44">
        <f>SUMIFS('02_目标分解'!$G$5:$G$16,'02_目标分解'!$A$5:$A$16,A11,'02_目标分解'!$C$5:$C$16,C11)*10000*0.2*'01_主数据假设'!K$21/F11</f>
        <v>348.68010526601398</v>
      </c>
      <c r="R11" s="44">
        <f>SUMIFS('02_目标分解'!$G$5:$G$16,'02_目标分解'!$A$5:$A$16,A11,'02_目标分解'!$C$5:$C$16,C11)*10000*0.2*'01_主数据假设'!L$21/F11</f>
        <v>426.16457310290599</v>
      </c>
      <c r="S11" s="44">
        <f>SUMIFS('02_目标分解'!$G$5:$G$16,'02_目标分解'!$A$5:$A$16,A11,'02_目标分解'!$C$5:$C$16,C11)*10000*0.2*'01_主数据假设'!M$21/F11</f>
        <v>484.277923980575</v>
      </c>
      <c r="T11" s="44">
        <f t="shared" si="0"/>
        <v>3874.2233918446</v>
      </c>
      <c r="U11" s="54">
        <f t="shared" si="1"/>
        <v>285.60000000000002</v>
      </c>
      <c r="V11" s="54">
        <f>SUMIFS('02_目标分解'!$G$5:$G$16,'02_目标分解'!$A$5:$A$16,A11,'02_目标分解'!$C$5:$C$16,C11)*0.2</f>
        <v>285.60000000000002</v>
      </c>
      <c r="W11" s="54">
        <f t="shared" si="2"/>
        <v>0</v>
      </c>
    </row>
    <row r="12" spans="1:23" ht="14.5">
      <c r="A12" s="12" t="s">
        <v>110</v>
      </c>
      <c r="B12" s="12" t="s">
        <v>111</v>
      </c>
      <c r="C12" s="12" t="s">
        <v>88</v>
      </c>
      <c r="D12" s="12" t="s">
        <v>89</v>
      </c>
      <c r="E12" s="12" t="s">
        <v>124</v>
      </c>
      <c r="F12" s="44">
        <f>SUMIFS('01_主数据假设'!$K$6:$K$8,'01_主数据假设'!$H$6:$H$8,C12)*SUMIFS('01_主数据假设'!$K$12:$K$15,'01_主数据假设'!$I$12:$I$15,E12)</f>
        <v>647.28</v>
      </c>
      <c r="G12" s="44">
        <f>SUMIFS('01_主数据假设'!$O$6:$O$8,'01_主数据假设'!$H$6:$H$8,C12)</f>
        <v>512</v>
      </c>
      <c r="H12" s="44">
        <f>SUMIFS('02_目标分解'!$G$5:$G$16,'02_目标分解'!$A$5:$A$16,A12,'02_目标分解'!$C$5:$C$16,C12)*10000*0.15*'01_主数据假设'!B$21/F12</f>
        <v>231.646273637375</v>
      </c>
      <c r="I12" s="44">
        <f>SUMIFS('02_目标分解'!$G$5:$G$16,'02_目标分解'!$A$5:$A$16,A12,'02_目标分解'!$C$5:$C$16,C12)*10000*0.15*'01_主数据假设'!C$21/F12</f>
        <v>198.55394883203601</v>
      </c>
      <c r="J12" s="44">
        <f>SUMIFS('02_目标分解'!$G$5:$G$16,'02_目标分解'!$A$5:$A$16,A12,'02_目标分解'!$C$5:$C$16,C12)*10000*0.15*'01_主数据假设'!D$21/F12</f>
        <v>231.646273637375</v>
      </c>
      <c r="K12" s="44">
        <f>SUMIFS('02_目标分解'!$G$5:$G$16,'02_目标分解'!$A$5:$A$16,A12,'02_目标分解'!$C$5:$C$16,C12)*10000*0.15*'01_主数据假设'!E$21/F12</f>
        <v>248.19243604004399</v>
      </c>
      <c r="L12" s="44">
        <f>SUMIFS('02_目标分解'!$G$5:$G$16,'02_目标分解'!$A$5:$A$16,A12,'02_目标分解'!$C$5:$C$16,C12)*10000*0.15*'01_主数据假设'!F$21/F12</f>
        <v>248.19243604004399</v>
      </c>
      <c r="M12" s="44">
        <f>SUMIFS('02_目标分解'!$G$5:$G$16,'02_目标分解'!$A$5:$A$16,A12,'02_目标分解'!$C$5:$C$16,C12)*10000*0.15*'01_主数据假设'!G$21/F12</f>
        <v>264.73859844271402</v>
      </c>
      <c r="N12" s="44">
        <f>SUMIFS('02_目标分解'!$G$5:$G$16,'02_目标分解'!$A$5:$A$16,A12,'02_目标分解'!$C$5:$C$16,C12)*10000*0.15*'01_主数据假设'!H$21/F12</f>
        <v>264.73859844271402</v>
      </c>
      <c r="O12" s="44">
        <f>SUMIFS('02_目标分解'!$G$5:$G$16,'02_目标分解'!$A$5:$A$16,A12,'02_目标分解'!$C$5:$C$16,C12)*10000*0.15*'01_主数据假设'!I$21/F12</f>
        <v>264.73859844271402</v>
      </c>
      <c r="P12" s="44">
        <f>SUMIFS('02_目标分解'!$G$5:$G$16,'02_目标分解'!$A$5:$A$16,A12,'02_目标分解'!$C$5:$C$16,C12)*10000*0.15*'01_主数据假设'!J$21/F12</f>
        <v>281.28476084538403</v>
      </c>
      <c r="Q12" s="44">
        <f>SUMIFS('02_目标分解'!$G$5:$G$16,'02_目标分解'!$A$5:$A$16,A12,'02_目标分解'!$C$5:$C$16,C12)*10000*0.15*'01_主数据假设'!K$21/F12</f>
        <v>297.83092324805301</v>
      </c>
      <c r="R12" s="44">
        <f>SUMIFS('02_目标分解'!$G$5:$G$16,'02_目标分解'!$A$5:$A$16,A12,'02_目标分解'!$C$5:$C$16,C12)*10000*0.15*'01_主数据假设'!L$21/F12</f>
        <v>364.01557285873201</v>
      </c>
      <c r="S12" s="44">
        <f>SUMIFS('02_目标分解'!$G$5:$G$16,'02_目标分解'!$A$5:$A$16,A12,'02_目标分解'!$C$5:$C$16,C12)*10000*0.15*'01_主数据假设'!M$21/F12</f>
        <v>413.65406006674101</v>
      </c>
      <c r="T12" s="44">
        <f t="shared" si="0"/>
        <v>3309.2324805339299</v>
      </c>
      <c r="U12" s="54">
        <f t="shared" si="1"/>
        <v>214.2</v>
      </c>
      <c r="V12" s="54">
        <f>SUMIFS('02_目标分解'!$G$5:$G$16,'02_目标分解'!$A$5:$A$16,A12,'02_目标分解'!$C$5:$C$16,C12)*0.15</f>
        <v>214.2</v>
      </c>
      <c r="W12" s="54">
        <f t="shared" si="2"/>
        <v>0</v>
      </c>
    </row>
    <row r="13" spans="1:23" ht="14.5">
      <c r="A13" s="12" t="s">
        <v>110</v>
      </c>
      <c r="B13" s="12" t="s">
        <v>111</v>
      </c>
      <c r="C13" s="12" t="s">
        <v>93</v>
      </c>
      <c r="D13" s="12" t="s">
        <v>94</v>
      </c>
      <c r="E13" s="12" t="s">
        <v>109</v>
      </c>
      <c r="F13" s="44">
        <f>SUMIFS('01_主数据假设'!$K$6:$K$8,'01_主数据假设'!$H$6:$H$8,C13)*SUMIFS('01_主数据假设'!$K$12:$K$15,'01_主数据假设'!$I$12:$I$15,E13)</f>
        <v>1614.05</v>
      </c>
      <c r="G13" s="44">
        <f>SUMIFS('01_主数据假设'!$O$6:$O$8,'01_主数据假设'!$H$6:$H$8,C13)</f>
        <v>507</v>
      </c>
      <c r="H13" s="44">
        <f>SUMIFS('02_目标分解'!$G$5:$G$16,'02_目标分解'!$A$5:$A$16,A13,'02_目标分解'!$C$5:$C$16,C13)*10000*0.3*'01_主数据假设'!B$21/F13</f>
        <v>132.70964344351199</v>
      </c>
      <c r="I13" s="44">
        <f>SUMIFS('02_目标分解'!$G$5:$G$16,'02_目标分解'!$A$5:$A$16,A13,'02_目标分解'!$C$5:$C$16,C13)*10000*0.3*'01_主数据假设'!C$21/F13</f>
        <v>113.751122951581</v>
      </c>
      <c r="J13" s="44">
        <f>SUMIFS('02_目标分解'!$G$5:$G$16,'02_目标分解'!$A$5:$A$16,A13,'02_目标分解'!$C$5:$C$16,C13)*10000*0.3*'01_主数据假设'!D$21/F13</f>
        <v>132.70964344351199</v>
      </c>
      <c r="K13" s="44">
        <f>SUMIFS('02_目标分解'!$G$5:$G$16,'02_目标分解'!$A$5:$A$16,A13,'02_目标分解'!$C$5:$C$16,C13)*10000*0.3*'01_主数据假设'!E$21/F13</f>
        <v>142.188903689477</v>
      </c>
      <c r="L13" s="44">
        <f>SUMIFS('02_目标分解'!$G$5:$G$16,'02_目标分解'!$A$5:$A$16,A13,'02_目标分解'!$C$5:$C$16,C13)*10000*0.3*'01_主数据假设'!F$21/F13</f>
        <v>142.188903689477</v>
      </c>
      <c r="M13" s="44">
        <f>SUMIFS('02_目标分解'!$G$5:$G$16,'02_目标分解'!$A$5:$A$16,A13,'02_目标分解'!$C$5:$C$16,C13)*10000*0.3*'01_主数据假设'!G$21/F13</f>
        <v>151.66816393544201</v>
      </c>
      <c r="N13" s="44">
        <f>SUMIFS('02_目标分解'!$G$5:$G$16,'02_目标分解'!$A$5:$A$16,A13,'02_目标分解'!$C$5:$C$16,C13)*10000*0.3*'01_主数据假设'!H$21/F13</f>
        <v>151.66816393544201</v>
      </c>
      <c r="O13" s="44">
        <f>SUMIFS('02_目标分解'!$G$5:$G$16,'02_目标分解'!$A$5:$A$16,A13,'02_目标分解'!$C$5:$C$16,C13)*10000*0.3*'01_主数据假设'!I$21/F13</f>
        <v>151.66816393544201</v>
      </c>
      <c r="P13" s="44">
        <f>SUMIFS('02_目标分解'!$G$5:$G$16,'02_目标分解'!$A$5:$A$16,A13,'02_目标分解'!$C$5:$C$16,C13)*10000*0.3*'01_主数据假设'!J$21/F13</f>
        <v>161.14742418140699</v>
      </c>
      <c r="Q13" s="44">
        <f>SUMIFS('02_目标分解'!$G$5:$G$16,'02_目标分解'!$A$5:$A$16,A13,'02_目标分解'!$C$5:$C$16,C13)*10000*0.3*'01_主数据假设'!K$21/F13</f>
        <v>170.626684427372</v>
      </c>
      <c r="R13" s="44">
        <f>SUMIFS('02_目标分解'!$G$5:$G$16,'02_目标分解'!$A$5:$A$16,A13,'02_目标分解'!$C$5:$C$16,C13)*10000*0.3*'01_主数据假设'!L$21/F13</f>
        <v>208.543725411233</v>
      </c>
      <c r="S13" s="44">
        <f>SUMIFS('02_目标分解'!$G$5:$G$16,'02_目标分解'!$A$5:$A$16,A13,'02_目标分解'!$C$5:$C$16,C13)*10000*0.3*'01_主数据假设'!M$21/F13</f>
        <v>236.98150614912799</v>
      </c>
      <c r="T13" s="44">
        <f t="shared" si="0"/>
        <v>1895.8520491930201</v>
      </c>
      <c r="U13" s="54">
        <f t="shared" si="1"/>
        <v>306</v>
      </c>
      <c r="V13" s="54">
        <f>SUMIFS('02_目标分解'!$G$5:$G$16,'02_目标分解'!$A$5:$A$16,A13,'02_目标分解'!$C$5:$C$16,C13)*0.3</f>
        <v>306</v>
      </c>
      <c r="W13" s="54">
        <f t="shared" si="2"/>
        <v>0</v>
      </c>
    </row>
    <row r="14" spans="1:23" ht="14.5">
      <c r="A14" s="12" t="s">
        <v>110</v>
      </c>
      <c r="B14" s="12" t="s">
        <v>111</v>
      </c>
      <c r="C14" s="12" t="s">
        <v>93</v>
      </c>
      <c r="D14" s="12" t="s">
        <v>94</v>
      </c>
      <c r="E14" s="12" t="s">
        <v>114</v>
      </c>
      <c r="F14" s="44">
        <f>SUMIFS('01_主数据假设'!$K$6:$K$8,'01_主数据假设'!$H$6:$H$8,C14)*SUMIFS('01_主数据假设'!$K$12:$K$15,'01_主数据假设'!$I$12:$I$15,E14)</f>
        <v>1529.1</v>
      </c>
      <c r="G14" s="44">
        <f>SUMIFS('01_主数据假设'!$O$6:$O$8,'01_主数据假设'!$H$6:$H$8,C14)</f>
        <v>507</v>
      </c>
      <c r="H14" s="44">
        <f>SUMIFS('02_目标分解'!$G$5:$G$16,'02_目标分解'!$A$5:$A$16,A14,'02_目标分解'!$C$5:$C$16,C14)*10000*0.35*'01_主数据假设'!B$21/F14</f>
        <v>163.42946831469499</v>
      </c>
      <c r="I14" s="44">
        <f>SUMIFS('02_目标分解'!$G$5:$G$16,'02_目标分解'!$A$5:$A$16,A14,'02_目标分解'!$C$5:$C$16,C14)*10000*0.35*'01_主数据假设'!C$21/F14</f>
        <v>140.082401412596</v>
      </c>
      <c r="J14" s="44">
        <f>SUMIFS('02_目标分解'!$G$5:$G$16,'02_目标分解'!$A$5:$A$16,A14,'02_目标分解'!$C$5:$C$16,C14)*10000*0.35*'01_主数据假设'!D$21/F14</f>
        <v>163.42946831469499</v>
      </c>
      <c r="K14" s="44">
        <f>SUMIFS('02_目标分解'!$G$5:$G$16,'02_目标分解'!$A$5:$A$16,A14,'02_目标分解'!$C$5:$C$16,C14)*10000*0.35*'01_主数据假设'!E$21/F14</f>
        <v>175.10300176574501</v>
      </c>
      <c r="L14" s="44">
        <f>SUMIFS('02_目标分解'!$G$5:$G$16,'02_目标分解'!$A$5:$A$16,A14,'02_目标分解'!$C$5:$C$16,C14)*10000*0.35*'01_主数据假设'!F$21/F14</f>
        <v>175.10300176574501</v>
      </c>
      <c r="M14" s="44">
        <f>SUMIFS('02_目标分解'!$G$5:$G$16,'02_目标分解'!$A$5:$A$16,A14,'02_目标分解'!$C$5:$C$16,C14)*10000*0.35*'01_主数据假设'!G$21/F14</f>
        <v>186.776535216794</v>
      </c>
      <c r="N14" s="44">
        <f>SUMIFS('02_目标分解'!$G$5:$G$16,'02_目标分解'!$A$5:$A$16,A14,'02_目标分解'!$C$5:$C$16,C14)*10000*0.35*'01_主数据假设'!H$21/F14</f>
        <v>186.776535216794</v>
      </c>
      <c r="O14" s="44">
        <f>SUMIFS('02_目标分解'!$G$5:$G$16,'02_目标分解'!$A$5:$A$16,A14,'02_目标分解'!$C$5:$C$16,C14)*10000*0.35*'01_主数据假设'!I$21/F14</f>
        <v>186.776535216794</v>
      </c>
      <c r="P14" s="44">
        <f>SUMIFS('02_目标分解'!$G$5:$G$16,'02_目标分解'!$A$5:$A$16,A14,'02_目标分解'!$C$5:$C$16,C14)*10000*0.35*'01_主数据假设'!J$21/F14</f>
        <v>198.45006866784399</v>
      </c>
      <c r="Q14" s="44">
        <f>SUMIFS('02_目标分解'!$G$5:$G$16,'02_目标分解'!$A$5:$A$16,A14,'02_目标分解'!$C$5:$C$16,C14)*10000*0.35*'01_主数据假设'!K$21/F14</f>
        <v>210.12360211889299</v>
      </c>
      <c r="R14" s="44">
        <f>SUMIFS('02_目标分解'!$G$5:$G$16,'02_目标分解'!$A$5:$A$16,A14,'02_目标分解'!$C$5:$C$16,C14)*10000*0.35*'01_主数据假设'!L$21/F14</f>
        <v>256.81773592309202</v>
      </c>
      <c r="S14" s="44">
        <f>SUMIFS('02_目标分解'!$G$5:$G$16,'02_目标分解'!$A$5:$A$16,A14,'02_目标分解'!$C$5:$C$16,C14)*10000*0.35*'01_主数据假设'!M$21/F14</f>
        <v>291.83833627624102</v>
      </c>
      <c r="T14" s="44">
        <f t="shared" si="0"/>
        <v>2334.70669020993</v>
      </c>
      <c r="U14" s="54">
        <f t="shared" si="1"/>
        <v>357</v>
      </c>
      <c r="V14" s="54">
        <f>SUMIFS('02_目标分解'!$G$5:$G$16,'02_目标分解'!$A$5:$A$16,A14,'02_目标分解'!$C$5:$C$16,C14)*0.35</f>
        <v>357</v>
      </c>
      <c r="W14" s="54">
        <f t="shared" si="2"/>
        <v>0</v>
      </c>
    </row>
    <row r="15" spans="1:23" ht="14.5">
      <c r="A15" s="12" t="s">
        <v>110</v>
      </c>
      <c r="B15" s="12" t="s">
        <v>111</v>
      </c>
      <c r="C15" s="12" t="s">
        <v>93</v>
      </c>
      <c r="D15" s="12" t="s">
        <v>94</v>
      </c>
      <c r="E15" s="12" t="s">
        <v>119</v>
      </c>
      <c r="F15" s="44">
        <f>SUMIFS('01_主数据假设'!$K$6:$K$8,'01_主数据假设'!$H$6:$H$8,C15)*SUMIFS('01_主数据假设'!$K$12:$K$15,'01_主数据假设'!$I$12:$I$15,E15)</f>
        <v>1393.18</v>
      </c>
      <c r="G15" s="44">
        <f>SUMIFS('01_主数据假设'!$O$6:$O$8,'01_主数据假设'!$H$6:$H$8,C15)</f>
        <v>507</v>
      </c>
      <c r="H15" s="44">
        <f>SUMIFS('02_目标分解'!$G$5:$G$16,'02_目标分解'!$A$5:$A$16,A15,'02_目标分解'!$C$5:$C$16,C15)*10000*0.2*'01_主数据假设'!B$21/F15</f>
        <v>102.499318106777</v>
      </c>
      <c r="I15" s="44">
        <f>SUMIFS('02_目标分解'!$G$5:$G$16,'02_目标分解'!$A$5:$A$16,A15,'02_目标分解'!$C$5:$C$16,C15)*10000*0.2*'01_主数据假设'!C$21/F15</f>
        <v>87.856558377237704</v>
      </c>
      <c r="J15" s="44">
        <f>SUMIFS('02_目标分解'!$G$5:$G$16,'02_目标分解'!$A$5:$A$16,A15,'02_目标分解'!$C$5:$C$16,C15)*10000*0.2*'01_主数据假设'!D$21/F15</f>
        <v>102.499318106777</v>
      </c>
      <c r="K15" s="44">
        <f>SUMIFS('02_目标分解'!$G$5:$G$16,'02_目标分解'!$A$5:$A$16,A15,'02_目标分解'!$C$5:$C$16,C15)*10000*0.2*'01_主数据假设'!E$21/F15</f>
        <v>109.82069797154701</v>
      </c>
      <c r="L15" s="44">
        <f>SUMIFS('02_目标分解'!$G$5:$G$16,'02_目标分解'!$A$5:$A$16,A15,'02_目标分解'!$C$5:$C$16,C15)*10000*0.2*'01_主数据假设'!F$21/F15</f>
        <v>109.82069797154701</v>
      </c>
      <c r="M15" s="44">
        <f>SUMIFS('02_目标分解'!$G$5:$G$16,'02_目标分解'!$A$5:$A$16,A15,'02_目标分解'!$C$5:$C$16,C15)*10000*0.2*'01_主数据假设'!G$21/F15</f>
        <v>117.142077836317</v>
      </c>
      <c r="N15" s="44">
        <f>SUMIFS('02_目标分解'!$G$5:$G$16,'02_目标分解'!$A$5:$A$16,A15,'02_目标分解'!$C$5:$C$16,C15)*10000*0.2*'01_主数据假设'!H$21/F15</f>
        <v>117.142077836317</v>
      </c>
      <c r="O15" s="44">
        <f>SUMIFS('02_目标分解'!$G$5:$G$16,'02_目标分解'!$A$5:$A$16,A15,'02_目标分解'!$C$5:$C$16,C15)*10000*0.2*'01_主数据假设'!I$21/F15</f>
        <v>117.142077836317</v>
      </c>
      <c r="P15" s="44">
        <f>SUMIFS('02_目标分解'!$G$5:$G$16,'02_目标分解'!$A$5:$A$16,A15,'02_目标分解'!$C$5:$C$16,C15)*10000*0.2*'01_主数据假设'!J$21/F15</f>
        <v>124.46345770108699</v>
      </c>
      <c r="Q15" s="44">
        <f>SUMIFS('02_目标分解'!$G$5:$G$16,'02_目标分解'!$A$5:$A$16,A15,'02_目标分解'!$C$5:$C$16,C15)*10000*0.2*'01_主数据假设'!K$21/F15</f>
        <v>131.784837565857</v>
      </c>
      <c r="R15" s="44">
        <f>SUMIFS('02_目标分解'!$G$5:$G$16,'02_目标分解'!$A$5:$A$16,A15,'02_目标分解'!$C$5:$C$16,C15)*10000*0.2*'01_主数据假设'!L$21/F15</f>
        <v>161.07035702493599</v>
      </c>
      <c r="S15" s="44">
        <f>SUMIFS('02_目标分解'!$G$5:$G$16,'02_目标分解'!$A$5:$A$16,A15,'02_目标分解'!$C$5:$C$16,C15)*10000*0.2*'01_主数据假设'!M$21/F15</f>
        <v>183.034496619245</v>
      </c>
      <c r="T15" s="44">
        <f t="shared" si="0"/>
        <v>1464.27597295396</v>
      </c>
      <c r="U15" s="54">
        <f t="shared" si="1"/>
        <v>204</v>
      </c>
      <c r="V15" s="54">
        <f>SUMIFS('02_目标分解'!$G$5:$G$16,'02_目标分解'!$A$5:$A$16,A15,'02_目标分解'!$C$5:$C$16,C15)*0.2</f>
        <v>204</v>
      </c>
      <c r="W15" s="54">
        <f t="shared" si="2"/>
        <v>0</v>
      </c>
    </row>
    <row r="16" spans="1:23" ht="14.5">
      <c r="A16" s="12" t="s">
        <v>110</v>
      </c>
      <c r="B16" s="12" t="s">
        <v>111</v>
      </c>
      <c r="C16" s="12" t="s">
        <v>93</v>
      </c>
      <c r="D16" s="12" t="s">
        <v>94</v>
      </c>
      <c r="E16" s="12" t="s">
        <v>124</v>
      </c>
      <c r="F16" s="44">
        <f>SUMIFS('01_主数据假设'!$K$6:$K$8,'01_主数据假设'!$H$6:$H$8,C16)*SUMIFS('01_主数据假设'!$K$12:$K$15,'01_主数据假设'!$I$12:$I$15,E16)</f>
        <v>1223.28</v>
      </c>
      <c r="G16" s="44">
        <f>SUMIFS('01_主数据假设'!$O$6:$O$8,'01_主数据假设'!$H$6:$H$8,C16)</f>
        <v>507</v>
      </c>
      <c r="H16" s="44">
        <f>SUMIFS('02_目标分解'!$G$5:$G$16,'02_目标分解'!$A$5:$A$16,A16,'02_目标分解'!$C$5:$C$16,C16)*10000*0.15*'01_主数据假设'!B$21/F16</f>
        <v>87.551500882872304</v>
      </c>
      <c r="I16" s="44">
        <f>SUMIFS('02_目标分解'!$G$5:$G$16,'02_目标分解'!$A$5:$A$16,A16,'02_目标分解'!$C$5:$C$16,C16)*10000*0.15*'01_主数据假设'!C$21/F16</f>
        <v>75.044143613890498</v>
      </c>
      <c r="J16" s="44">
        <f>SUMIFS('02_目标分解'!$G$5:$G$16,'02_目标分解'!$A$5:$A$16,A16,'02_目标分解'!$C$5:$C$16,C16)*10000*0.15*'01_主数据假设'!D$21/F16</f>
        <v>87.551500882872304</v>
      </c>
      <c r="K16" s="44">
        <f>SUMIFS('02_目标分解'!$G$5:$G$16,'02_目标分解'!$A$5:$A$16,A16,'02_目标分解'!$C$5:$C$16,C16)*10000*0.15*'01_主数据假设'!E$21/F16</f>
        <v>93.8051795173632</v>
      </c>
      <c r="L16" s="44">
        <f>SUMIFS('02_目标分解'!$G$5:$G$16,'02_目标分解'!$A$5:$A$16,A16,'02_目标分解'!$C$5:$C$16,C16)*10000*0.15*'01_主数据假设'!F$21/F16</f>
        <v>93.8051795173632</v>
      </c>
      <c r="M16" s="44">
        <f>SUMIFS('02_目标分解'!$G$5:$G$16,'02_目标分解'!$A$5:$A$16,A16,'02_目标分解'!$C$5:$C$16,C16)*10000*0.15*'01_主数据假设'!G$21/F16</f>
        <v>100.058858151854</v>
      </c>
      <c r="N16" s="44">
        <f>SUMIFS('02_目标分解'!$G$5:$G$16,'02_目标分解'!$A$5:$A$16,A16,'02_目标分解'!$C$5:$C$16,C16)*10000*0.15*'01_主数据假设'!H$21/F16</f>
        <v>100.058858151854</v>
      </c>
      <c r="O16" s="44">
        <f>SUMIFS('02_目标分解'!$G$5:$G$16,'02_目标分解'!$A$5:$A$16,A16,'02_目标分解'!$C$5:$C$16,C16)*10000*0.15*'01_主数据假设'!I$21/F16</f>
        <v>100.058858151854</v>
      </c>
      <c r="P16" s="44">
        <f>SUMIFS('02_目标分解'!$G$5:$G$16,'02_目标分解'!$A$5:$A$16,A16,'02_目标分解'!$C$5:$C$16,C16)*10000*0.15*'01_主数据假设'!J$21/F16</f>
        <v>106.31253678634501</v>
      </c>
      <c r="Q16" s="44">
        <f>SUMIFS('02_目标分解'!$G$5:$G$16,'02_目标分解'!$A$5:$A$16,A16,'02_目标分解'!$C$5:$C$16,C16)*10000*0.15*'01_主数据假设'!K$21/F16</f>
        <v>112.566215420836</v>
      </c>
      <c r="R16" s="44">
        <f>SUMIFS('02_目标分解'!$G$5:$G$16,'02_目标分解'!$A$5:$A$16,A16,'02_目标分解'!$C$5:$C$16,C16)*10000*0.15*'01_主数据假设'!L$21/F16</f>
        <v>137.580929958799</v>
      </c>
      <c r="S16" s="44">
        <f>SUMIFS('02_目标分解'!$G$5:$G$16,'02_目标分解'!$A$5:$A$16,A16,'02_目标分解'!$C$5:$C$16,C16)*10000*0.15*'01_主数据假设'!M$21/F16</f>
        <v>156.34196586227199</v>
      </c>
      <c r="T16" s="44">
        <f t="shared" si="0"/>
        <v>1250.73572689818</v>
      </c>
      <c r="U16" s="54">
        <f t="shared" si="1"/>
        <v>153</v>
      </c>
      <c r="V16" s="54">
        <f>SUMIFS('02_目标分解'!$G$5:$G$16,'02_目标分解'!$A$5:$A$16,A16,'02_目标分解'!$C$5:$C$16,C16)*0.15</f>
        <v>153</v>
      </c>
      <c r="W16" s="54">
        <f t="shared" si="2"/>
        <v>0</v>
      </c>
    </row>
    <row r="17" spans="1:23" ht="14.5">
      <c r="A17" s="12" t="s">
        <v>115</v>
      </c>
      <c r="B17" s="12" t="s">
        <v>116</v>
      </c>
      <c r="C17" s="12" t="s">
        <v>82</v>
      </c>
      <c r="D17" s="12" t="s">
        <v>83</v>
      </c>
      <c r="E17" s="12" t="s">
        <v>109</v>
      </c>
      <c r="F17" s="44">
        <f>SUMIFS('01_主数据假设'!$K$6:$K$8,'01_主数据假设'!$H$6:$H$8,C17)*SUMIFS('01_主数据假设'!$K$12:$K$15,'01_主数据假设'!$I$12:$I$15,E17)</f>
        <v>1234.05</v>
      </c>
      <c r="G17" s="44">
        <f>SUMIFS('01_主数据假设'!$O$6:$O$8,'01_主数据假设'!$H$6:$H$8,C17)</f>
        <v>481</v>
      </c>
      <c r="H17" s="44">
        <f>SUMIFS('02_目标分解'!$G$5:$G$16,'02_目标分解'!$A$5:$A$16,A17,'02_目标分解'!$C$5:$C$16,C17)*10000*0.3*'01_主数据假设'!B$21/F17</f>
        <v>220.54211741825699</v>
      </c>
      <c r="I17" s="44">
        <f>SUMIFS('02_目标分解'!$G$5:$G$16,'02_目标分解'!$A$5:$A$16,A17,'02_目标分解'!$C$5:$C$16,C17)*10000*0.3*'01_主数据假设'!C$21/F17</f>
        <v>189.03610064422</v>
      </c>
      <c r="J17" s="44">
        <f>SUMIFS('02_目标分解'!$G$5:$G$16,'02_目标分解'!$A$5:$A$16,A17,'02_目标分解'!$C$5:$C$16,C17)*10000*0.3*'01_主数据假设'!D$21/F17</f>
        <v>220.54211741825699</v>
      </c>
      <c r="K17" s="44">
        <f>SUMIFS('02_目标分解'!$G$5:$G$16,'02_目标分解'!$A$5:$A$16,A17,'02_目标分解'!$C$5:$C$16,C17)*10000*0.3*'01_主数据假设'!E$21/F17</f>
        <v>236.29512580527501</v>
      </c>
      <c r="L17" s="44">
        <f>SUMIFS('02_目标分解'!$G$5:$G$16,'02_目标分解'!$A$5:$A$16,A17,'02_目标分解'!$C$5:$C$16,C17)*10000*0.3*'01_主数据假设'!F$21/F17</f>
        <v>236.29512580527501</v>
      </c>
      <c r="M17" s="44">
        <f>SUMIFS('02_目标分解'!$G$5:$G$16,'02_目标分解'!$A$5:$A$16,A17,'02_目标分解'!$C$5:$C$16,C17)*10000*0.3*'01_主数据假设'!G$21/F17</f>
        <v>252.04813419229399</v>
      </c>
      <c r="N17" s="44">
        <f>SUMIFS('02_目标分解'!$G$5:$G$16,'02_目标分解'!$A$5:$A$16,A17,'02_目标分解'!$C$5:$C$16,C17)*10000*0.3*'01_主数据假设'!H$21/F17</f>
        <v>252.04813419229399</v>
      </c>
      <c r="O17" s="44">
        <f>SUMIFS('02_目标分解'!$G$5:$G$16,'02_目标分解'!$A$5:$A$16,A17,'02_目标分解'!$C$5:$C$16,C17)*10000*0.3*'01_主数据假设'!I$21/F17</f>
        <v>252.04813419229399</v>
      </c>
      <c r="P17" s="44">
        <f>SUMIFS('02_目标分解'!$G$5:$G$16,'02_目标分解'!$A$5:$A$16,A17,'02_目标分解'!$C$5:$C$16,C17)*10000*0.3*'01_主数据假设'!J$21/F17</f>
        <v>267.801142579312</v>
      </c>
      <c r="Q17" s="44">
        <f>SUMIFS('02_目标分解'!$G$5:$G$16,'02_目标分解'!$A$5:$A$16,A17,'02_目标分解'!$C$5:$C$16,C17)*10000*0.3*'01_主数据假设'!K$21/F17</f>
        <v>283.55415096632998</v>
      </c>
      <c r="R17" s="44">
        <f>SUMIFS('02_目标分解'!$G$5:$G$16,'02_目标分解'!$A$5:$A$16,A17,'02_目标分解'!$C$5:$C$16,C17)*10000*0.3*'01_主数据假设'!L$21/F17</f>
        <v>346.56618451440397</v>
      </c>
      <c r="S17" s="44">
        <f>SUMIFS('02_目标分解'!$G$5:$G$16,'02_目标分解'!$A$5:$A$16,A17,'02_目标分解'!$C$5:$C$16,C17)*10000*0.3*'01_主数据假设'!M$21/F17</f>
        <v>393.82520967545901</v>
      </c>
      <c r="T17" s="44">
        <f t="shared" si="0"/>
        <v>3150.6016774036698</v>
      </c>
      <c r="U17" s="54">
        <f t="shared" si="1"/>
        <v>388.8</v>
      </c>
      <c r="V17" s="54">
        <f>SUMIFS('02_目标分解'!$G$5:$G$16,'02_目标分解'!$A$5:$A$16,A17,'02_目标分解'!$C$5:$C$16,C17)*0.3</f>
        <v>388.8</v>
      </c>
      <c r="W17" s="54">
        <f t="shared" si="2"/>
        <v>0</v>
      </c>
    </row>
    <row r="18" spans="1:23" ht="14.5">
      <c r="A18" s="12" t="s">
        <v>115</v>
      </c>
      <c r="B18" s="12" t="s">
        <v>116</v>
      </c>
      <c r="C18" s="12" t="s">
        <v>82</v>
      </c>
      <c r="D18" s="12" t="s">
        <v>83</v>
      </c>
      <c r="E18" s="12" t="s">
        <v>114</v>
      </c>
      <c r="F18" s="44">
        <f>SUMIFS('01_主数据假设'!$K$6:$K$8,'01_主数据假设'!$H$6:$H$8,C18)*SUMIFS('01_主数据假设'!$K$12:$K$15,'01_主数据假设'!$I$12:$I$15,E18)</f>
        <v>1169.0999999999999</v>
      </c>
      <c r="G18" s="44">
        <f>SUMIFS('01_主数据假设'!$O$6:$O$8,'01_主数据假设'!$H$6:$H$8,C18)</f>
        <v>481</v>
      </c>
      <c r="H18" s="44">
        <f>SUMIFS('02_目标分解'!$G$5:$G$16,'02_目标分解'!$A$5:$A$16,A18,'02_目标分解'!$C$5:$C$16,C18)*10000*0.35*'01_主数据假设'!B$21/F18</f>
        <v>271.59353348729798</v>
      </c>
      <c r="I18" s="44">
        <f>SUMIFS('02_目标分解'!$G$5:$G$16,'02_目标分解'!$A$5:$A$16,A18,'02_目标分解'!$C$5:$C$16,C18)*10000*0.35*'01_主数据假设'!C$21/F18</f>
        <v>232.79445727482701</v>
      </c>
      <c r="J18" s="44">
        <f>SUMIFS('02_目标分解'!$G$5:$G$16,'02_目标分解'!$A$5:$A$16,A18,'02_目标分解'!$C$5:$C$16,C18)*10000*0.35*'01_主数据假设'!D$21/F18</f>
        <v>271.59353348729798</v>
      </c>
      <c r="K18" s="44">
        <f>SUMIFS('02_目标分解'!$G$5:$G$16,'02_目标分解'!$A$5:$A$16,A18,'02_目标分解'!$C$5:$C$16,C18)*10000*0.35*'01_主数据假设'!E$21/F18</f>
        <v>290.99307159353299</v>
      </c>
      <c r="L18" s="44">
        <f>SUMIFS('02_目标分解'!$G$5:$G$16,'02_目标分解'!$A$5:$A$16,A18,'02_目标分解'!$C$5:$C$16,C18)*10000*0.35*'01_主数据假设'!F$21/F18</f>
        <v>290.99307159353299</v>
      </c>
      <c r="M18" s="44">
        <f>SUMIFS('02_目标分解'!$G$5:$G$16,'02_目标分解'!$A$5:$A$16,A18,'02_目标分解'!$C$5:$C$16,C18)*10000*0.35*'01_主数据假设'!G$21/F18</f>
        <v>310.39260969976903</v>
      </c>
      <c r="N18" s="44">
        <f>SUMIFS('02_目标分解'!$G$5:$G$16,'02_目标分解'!$A$5:$A$16,A18,'02_目标分解'!$C$5:$C$16,C18)*10000*0.35*'01_主数据假设'!H$21/F18</f>
        <v>310.39260969976903</v>
      </c>
      <c r="O18" s="44">
        <f>SUMIFS('02_目标分解'!$G$5:$G$16,'02_目标分解'!$A$5:$A$16,A18,'02_目标分解'!$C$5:$C$16,C18)*10000*0.35*'01_主数据假设'!I$21/F18</f>
        <v>310.39260969976903</v>
      </c>
      <c r="P18" s="44">
        <f>SUMIFS('02_目标分解'!$G$5:$G$16,'02_目标分解'!$A$5:$A$16,A18,'02_目标分解'!$C$5:$C$16,C18)*10000*0.35*'01_主数据假设'!J$21/F18</f>
        <v>329.792147806005</v>
      </c>
      <c r="Q18" s="44">
        <f>SUMIFS('02_目标分解'!$G$5:$G$16,'02_目标分解'!$A$5:$A$16,A18,'02_目标分解'!$C$5:$C$16,C18)*10000*0.35*'01_主数据假设'!K$21/F18</f>
        <v>349.19168591224002</v>
      </c>
      <c r="R18" s="44">
        <f>SUMIFS('02_目标分解'!$G$5:$G$16,'02_目标分解'!$A$5:$A$16,A18,'02_目标分解'!$C$5:$C$16,C18)*10000*0.35*'01_主数据假设'!L$21/F18</f>
        <v>426.789838337182</v>
      </c>
      <c r="S18" s="44">
        <f>SUMIFS('02_目标分解'!$G$5:$G$16,'02_目标分解'!$A$5:$A$16,A18,'02_目标分解'!$C$5:$C$16,C18)*10000*0.35*'01_主数据假设'!M$21/F18</f>
        <v>484.98845265588898</v>
      </c>
      <c r="T18" s="44">
        <f t="shared" si="0"/>
        <v>3879.90762124711</v>
      </c>
      <c r="U18" s="54">
        <f t="shared" si="1"/>
        <v>453.6</v>
      </c>
      <c r="V18" s="54">
        <f>SUMIFS('02_目标分解'!$G$5:$G$16,'02_目标分解'!$A$5:$A$16,A18,'02_目标分解'!$C$5:$C$16,C18)*0.35</f>
        <v>453.6</v>
      </c>
      <c r="W18" s="54">
        <f t="shared" si="2"/>
        <v>0</v>
      </c>
    </row>
    <row r="19" spans="1:23" ht="14.5">
      <c r="A19" s="12" t="s">
        <v>115</v>
      </c>
      <c r="B19" s="12" t="s">
        <v>116</v>
      </c>
      <c r="C19" s="12" t="s">
        <v>82</v>
      </c>
      <c r="D19" s="12" t="s">
        <v>83</v>
      </c>
      <c r="E19" s="12" t="s">
        <v>119</v>
      </c>
      <c r="F19" s="44">
        <f>SUMIFS('01_主数据假设'!$K$6:$K$8,'01_主数据假设'!$H$6:$H$8,C19)*SUMIFS('01_主数据假设'!$K$12:$K$15,'01_主数据假设'!$I$12:$I$15,E19)</f>
        <v>1065.18</v>
      </c>
      <c r="G19" s="44">
        <f>SUMIFS('01_主数据假设'!$O$6:$O$8,'01_主数据假设'!$H$6:$H$8,C19)</f>
        <v>481</v>
      </c>
      <c r="H19" s="44">
        <f>SUMIFS('02_目标分解'!$G$5:$G$16,'02_目标分解'!$A$5:$A$16,A19,'02_目标分解'!$C$5:$C$16,C19)*10000*0.2*'01_主数据假设'!B$21/F19</f>
        <v>170.33740776206801</v>
      </c>
      <c r="I19" s="44">
        <f>SUMIFS('02_目标分解'!$G$5:$G$16,'02_目标分解'!$A$5:$A$16,A19,'02_目标分解'!$C$5:$C$16,C19)*10000*0.2*'01_主数据假设'!C$21/F19</f>
        <v>146.00349236748701</v>
      </c>
      <c r="J19" s="44">
        <f>SUMIFS('02_目标分解'!$G$5:$G$16,'02_目标分解'!$A$5:$A$16,A19,'02_目标分解'!$C$5:$C$16,C19)*10000*0.2*'01_主数据假设'!D$21/F19</f>
        <v>170.33740776206801</v>
      </c>
      <c r="K19" s="44">
        <f>SUMIFS('02_目标分解'!$G$5:$G$16,'02_目标分解'!$A$5:$A$16,A19,'02_目标分解'!$C$5:$C$16,C19)*10000*0.2*'01_主数据假设'!E$21/F19</f>
        <v>182.50436545935901</v>
      </c>
      <c r="L19" s="44">
        <f>SUMIFS('02_目标分解'!$G$5:$G$16,'02_目标分解'!$A$5:$A$16,A19,'02_目标分解'!$C$5:$C$16,C19)*10000*0.2*'01_主数据假设'!F$21/F19</f>
        <v>182.50436545935901</v>
      </c>
      <c r="M19" s="44">
        <f>SUMIFS('02_目标分解'!$G$5:$G$16,'02_目标分解'!$A$5:$A$16,A19,'02_目标分解'!$C$5:$C$16,C19)*10000*0.2*'01_主数据假设'!G$21/F19</f>
        <v>194.67132315665</v>
      </c>
      <c r="N19" s="44">
        <f>SUMIFS('02_目标分解'!$G$5:$G$16,'02_目标分解'!$A$5:$A$16,A19,'02_目标分解'!$C$5:$C$16,C19)*10000*0.2*'01_主数据假设'!H$21/F19</f>
        <v>194.67132315665</v>
      </c>
      <c r="O19" s="44">
        <f>SUMIFS('02_目标分解'!$G$5:$G$16,'02_目标分解'!$A$5:$A$16,A19,'02_目标分解'!$C$5:$C$16,C19)*10000*0.2*'01_主数据假设'!I$21/F19</f>
        <v>194.67132315665</v>
      </c>
      <c r="P19" s="44">
        <f>SUMIFS('02_目标分解'!$G$5:$G$16,'02_目标分解'!$A$5:$A$16,A19,'02_目标分解'!$C$5:$C$16,C19)*10000*0.2*'01_主数据假设'!J$21/F19</f>
        <v>206.83828085394001</v>
      </c>
      <c r="Q19" s="44">
        <f>SUMIFS('02_目标分解'!$G$5:$G$16,'02_目标分解'!$A$5:$A$16,A19,'02_目标分解'!$C$5:$C$16,C19)*10000*0.2*'01_主数据假设'!K$21/F19</f>
        <v>219.005238551231</v>
      </c>
      <c r="R19" s="44">
        <f>SUMIFS('02_目标分解'!$G$5:$G$16,'02_目标分解'!$A$5:$A$16,A19,'02_目标分解'!$C$5:$C$16,C19)*10000*0.2*'01_主数据假设'!L$21/F19</f>
        <v>267.673069340393</v>
      </c>
      <c r="S19" s="44">
        <f>SUMIFS('02_目标分解'!$G$5:$G$16,'02_目标分解'!$A$5:$A$16,A19,'02_目标分解'!$C$5:$C$16,C19)*10000*0.2*'01_主数据假设'!M$21/F19</f>
        <v>304.17394243226499</v>
      </c>
      <c r="T19" s="44">
        <f t="shared" si="0"/>
        <v>2433.39153945812</v>
      </c>
      <c r="U19" s="54">
        <f t="shared" si="1"/>
        <v>259.2</v>
      </c>
      <c r="V19" s="54">
        <f>SUMIFS('02_目标分解'!$G$5:$G$16,'02_目标分解'!$A$5:$A$16,A19,'02_目标分解'!$C$5:$C$16,C19)*0.2</f>
        <v>259.2</v>
      </c>
      <c r="W19" s="54">
        <f t="shared" si="2"/>
        <v>0</v>
      </c>
    </row>
    <row r="20" spans="1:23" ht="14.5">
      <c r="A20" s="12" t="s">
        <v>115</v>
      </c>
      <c r="B20" s="12" t="s">
        <v>116</v>
      </c>
      <c r="C20" s="12" t="s">
        <v>82</v>
      </c>
      <c r="D20" s="12" t="s">
        <v>83</v>
      </c>
      <c r="E20" s="12" t="s">
        <v>124</v>
      </c>
      <c r="F20" s="44">
        <f>SUMIFS('01_主数据假设'!$K$6:$K$8,'01_主数据假设'!$H$6:$H$8,C20)*SUMIFS('01_主数据假设'!$K$12:$K$15,'01_主数据假设'!$I$12:$I$15,E20)</f>
        <v>935.28</v>
      </c>
      <c r="G20" s="44">
        <f>SUMIFS('01_主数据假设'!$O$6:$O$8,'01_主数据假设'!$H$6:$H$8,C20)</f>
        <v>481</v>
      </c>
      <c r="H20" s="44">
        <f>SUMIFS('02_目标分解'!$G$5:$G$16,'02_目标分解'!$A$5:$A$16,A20,'02_目标分解'!$C$5:$C$16,C20)*10000*0.15*'01_主数据假设'!B$21/F20</f>
        <v>145.49653579676701</v>
      </c>
      <c r="I20" s="44">
        <f>SUMIFS('02_目标分解'!$G$5:$G$16,'02_目标分解'!$A$5:$A$16,A20,'02_目标分解'!$C$5:$C$16,C20)*10000*0.15*'01_主数据假设'!C$21/F20</f>
        <v>124.711316397229</v>
      </c>
      <c r="J20" s="44">
        <f>SUMIFS('02_目标分解'!$G$5:$G$16,'02_目标分解'!$A$5:$A$16,A20,'02_目标分解'!$C$5:$C$16,C20)*10000*0.15*'01_主数据假设'!D$21/F20</f>
        <v>145.49653579676701</v>
      </c>
      <c r="K20" s="44">
        <f>SUMIFS('02_目标分解'!$G$5:$G$16,'02_目标分解'!$A$5:$A$16,A20,'02_目标分解'!$C$5:$C$16,C20)*10000*0.15*'01_主数据假设'!E$21/F20</f>
        <v>155.889145496536</v>
      </c>
      <c r="L20" s="44">
        <f>SUMIFS('02_目标分解'!$G$5:$G$16,'02_目标分解'!$A$5:$A$16,A20,'02_目标分解'!$C$5:$C$16,C20)*10000*0.15*'01_主数据假设'!F$21/F20</f>
        <v>155.889145496536</v>
      </c>
      <c r="M20" s="44">
        <f>SUMIFS('02_目标分解'!$G$5:$G$16,'02_目标分解'!$A$5:$A$16,A20,'02_目标分解'!$C$5:$C$16,C20)*10000*0.15*'01_主数据假设'!G$21/F20</f>
        <v>166.281755196305</v>
      </c>
      <c r="N20" s="44">
        <f>SUMIFS('02_目标分解'!$G$5:$G$16,'02_目标分解'!$A$5:$A$16,A20,'02_目标分解'!$C$5:$C$16,C20)*10000*0.15*'01_主数据假设'!H$21/F20</f>
        <v>166.281755196305</v>
      </c>
      <c r="O20" s="44">
        <f>SUMIFS('02_目标分解'!$G$5:$G$16,'02_目标分解'!$A$5:$A$16,A20,'02_目标分解'!$C$5:$C$16,C20)*10000*0.15*'01_主数据假设'!I$21/F20</f>
        <v>166.281755196305</v>
      </c>
      <c r="P20" s="44">
        <f>SUMIFS('02_目标分解'!$G$5:$G$16,'02_目标分解'!$A$5:$A$16,A20,'02_目标分解'!$C$5:$C$16,C20)*10000*0.15*'01_主数据假设'!J$21/F20</f>
        <v>176.674364896074</v>
      </c>
      <c r="Q20" s="44">
        <f>SUMIFS('02_目标分解'!$G$5:$G$16,'02_目标分解'!$A$5:$A$16,A20,'02_目标分解'!$C$5:$C$16,C20)*10000*0.15*'01_主数据假设'!K$21/F20</f>
        <v>187.06697459584299</v>
      </c>
      <c r="R20" s="44">
        <f>SUMIFS('02_目标分解'!$G$5:$G$16,'02_目标分解'!$A$5:$A$16,A20,'02_目标分解'!$C$5:$C$16,C20)*10000*0.15*'01_主数据假设'!L$21/F20</f>
        <v>228.63741339491901</v>
      </c>
      <c r="S20" s="44">
        <f>SUMIFS('02_目标分解'!$G$5:$G$16,'02_目标分解'!$A$5:$A$16,A20,'02_目标分解'!$C$5:$C$16,C20)*10000*0.15*'01_主数据假设'!M$21/F20</f>
        <v>259.81524249422603</v>
      </c>
      <c r="T20" s="44">
        <f t="shared" si="0"/>
        <v>2078.52193995381</v>
      </c>
      <c r="U20" s="54">
        <f t="shared" si="1"/>
        <v>194.4</v>
      </c>
      <c r="V20" s="54">
        <f>SUMIFS('02_目标分解'!$G$5:$G$16,'02_目标分解'!$A$5:$A$16,A20,'02_目标分解'!$C$5:$C$16,C20)*0.15</f>
        <v>194.4</v>
      </c>
      <c r="W20" s="54">
        <f t="shared" si="2"/>
        <v>0</v>
      </c>
    </row>
    <row r="21" spans="1:23" ht="14.5">
      <c r="A21" s="12" t="s">
        <v>115</v>
      </c>
      <c r="B21" s="12" t="s">
        <v>116</v>
      </c>
      <c r="C21" s="12" t="s">
        <v>88</v>
      </c>
      <c r="D21" s="12" t="s">
        <v>89</v>
      </c>
      <c r="E21" s="12" t="s">
        <v>109</v>
      </c>
      <c r="F21" s="44">
        <f>SUMIFS('01_主数据假设'!$K$6:$K$8,'01_主数据假设'!$H$6:$H$8,C21)*SUMIFS('01_主数据假设'!$K$12:$K$15,'01_主数据假设'!$I$12:$I$15,E21)</f>
        <v>854.05</v>
      </c>
      <c r="G21" s="44">
        <f>SUMIFS('01_主数据假设'!$O$6:$O$8,'01_主数据假设'!$H$6:$H$8,C21)</f>
        <v>512</v>
      </c>
      <c r="H21" s="44">
        <f>SUMIFS('02_目标分解'!$G$5:$G$16,'02_目标分解'!$A$5:$A$16,A21,'02_目标分解'!$C$5:$C$16,C21)*10000*0.3*'01_主数据假设'!B$21/F21</f>
        <v>278.83613371582499</v>
      </c>
      <c r="I21" s="44">
        <f>SUMIFS('02_目标分解'!$G$5:$G$16,'02_目标分解'!$A$5:$A$16,A21,'02_目标分解'!$C$5:$C$16,C21)*10000*0.3*'01_主数据假设'!C$21/F21</f>
        <v>239.00240032785001</v>
      </c>
      <c r="J21" s="44">
        <f>SUMIFS('02_目标分解'!$G$5:$G$16,'02_目标分解'!$A$5:$A$16,A21,'02_目标分解'!$C$5:$C$16,C21)*10000*0.3*'01_主数据假设'!D$21/F21</f>
        <v>278.83613371582499</v>
      </c>
      <c r="K21" s="44">
        <f>SUMIFS('02_目标分解'!$G$5:$G$16,'02_目标分解'!$A$5:$A$16,A21,'02_目标分解'!$C$5:$C$16,C21)*10000*0.3*'01_主数据假设'!E$21/F21</f>
        <v>298.75300040981199</v>
      </c>
      <c r="L21" s="44">
        <f>SUMIFS('02_目标分解'!$G$5:$G$16,'02_目标分解'!$A$5:$A$16,A21,'02_目标分解'!$C$5:$C$16,C21)*10000*0.3*'01_主数据假设'!F$21/F21</f>
        <v>298.75300040981199</v>
      </c>
      <c r="M21" s="44">
        <f>SUMIFS('02_目标分解'!$G$5:$G$16,'02_目标分解'!$A$5:$A$16,A21,'02_目标分解'!$C$5:$C$16,C21)*10000*0.3*'01_主数据假设'!G$21/F21</f>
        <v>318.66986710380002</v>
      </c>
      <c r="N21" s="44">
        <f>SUMIFS('02_目标分解'!$G$5:$G$16,'02_目标分解'!$A$5:$A$16,A21,'02_目标分解'!$C$5:$C$16,C21)*10000*0.3*'01_主数据假设'!H$21/F21</f>
        <v>318.66986710380002</v>
      </c>
      <c r="O21" s="44">
        <f>SUMIFS('02_目标分解'!$G$5:$G$16,'02_目标分解'!$A$5:$A$16,A21,'02_目标分解'!$C$5:$C$16,C21)*10000*0.3*'01_主数据假设'!I$21/F21</f>
        <v>318.66986710380002</v>
      </c>
      <c r="P21" s="44">
        <f>SUMIFS('02_目标分解'!$G$5:$G$16,'02_目标分解'!$A$5:$A$16,A21,'02_目标分解'!$C$5:$C$16,C21)*10000*0.3*'01_主数据假设'!J$21/F21</f>
        <v>338.58673379778702</v>
      </c>
      <c r="Q21" s="44">
        <f>SUMIFS('02_目标分解'!$G$5:$G$16,'02_目标分解'!$A$5:$A$16,A21,'02_目标分解'!$C$5:$C$16,C21)*10000*0.3*'01_主数据假设'!K$21/F21</f>
        <v>358.50360049177402</v>
      </c>
      <c r="R21" s="44">
        <f>SUMIFS('02_目标分解'!$G$5:$G$16,'02_目标分解'!$A$5:$A$16,A21,'02_目标分解'!$C$5:$C$16,C21)*10000*0.3*'01_主数据假设'!L$21/F21</f>
        <v>438.17106726772403</v>
      </c>
      <c r="S21" s="44">
        <f>SUMIFS('02_目标分解'!$G$5:$G$16,'02_目标分解'!$A$5:$A$16,A21,'02_目标分解'!$C$5:$C$16,C21)*10000*0.3*'01_主数据假设'!M$21/F21</f>
        <v>497.92166734968703</v>
      </c>
      <c r="T21" s="44">
        <f t="shared" si="0"/>
        <v>3983.3733387974899</v>
      </c>
      <c r="U21" s="54">
        <f t="shared" si="1"/>
        <v>340.2</v>
      </c>
      <c r="V21" s="54">
        <f>SUMIFS('02_目标分解'!$G$5:$G$16,'02_目标分解'!$A$5:$A$16,A21,'02_目标分解'!$C$5:$C$16,C21)*0.3</f>
        <v>340.2</v>
      </c>
      <c r="W21" s="54">
        <f t="shared" si="2"/>
        <v>0</v>
      </c>
    </row>
    <row r="22" spans="1:23" ht="14.5">
      <c r="A22" s="12" t="s">
        <v>115</v>
      </c>
      <c r="B22" s="12" t="s">
        <v>116</v>
      </c>
      <c r="C22" s="12" t="s">
        <v>88</v>
      </c>
      <c r="D22" s="12" t="s">
        <v>89</v>
      </c>
      <c r="E22" s="12" t="s">
        <v>114</v>
      </c>
      <c r="F22" s="44">
        <f>SUMIFS('01_主数据假设'!$K$6:$K$8,'01_主数据假设'!$H$6:$H$8,C22)*SUMIFS('01_主数据假设'!$K$12:$K$15,'01_主数据假设'!$I$12:$I$15,E22)</f>
        <v>809.1</v>
      </c>
      <c r="G22" s="44">
        <f>SUMIFS('01_主数据假设'!$O$6:$O$8,'01_主数据假设'!$H$6:$H$8,C22)</f>
        <v>512</v>
      </c>
      <c r="H22" s="44">
        <f>SUMIFS('02_目标分解'!$G$5:$G$16,'02_目标分解'!$A$5:$A$16,A22,'02_目标分解'!$C$5:$C$16,C22)*10000*0.35*'01_主数据假设'!B$21/F22</f>
        <v>343.38153503893199</v>
      </c>
      <c r="I22" s="44">
        <f>SUMIFS('02_目标分解'!$G$5:$G$16,'02_目标分解'!$A$5:$A$16,A22,'02_目标分解'!$C$5:$C$16,C22)*10000*0.35*'01_主数据假设'!C$21/F22</f>
        <v>294.32703003337002</v>
      </c>
      <c r="J22" s="44">
        <f>SUMIFS('02_目标分解'!$G$5:$G$16,'02_目标分解'!$A$5:$A$16,A22,'02_目标分解'!$C$5:$C$16,C22)*10000*0.35*'01_主数据假设'!D$21/F22</f>
        <v>343.38153503893199</v>
      </c>
      <c r="K22" s="44">
        <f>SUMIFS('02_目标分解'!$G$5:$G$16,'02_目标分解'!$A$5:$A$16,A22,'02_目标分解'!$C$5:$C$16,C22)*10000*0.35*'01_主数据假设'!E$21/F22</f>
        <v>367.90878754171302</v>
      </c>
      <c r="L22" s="44">
        <f>SUMIFS('02_目标分解'!$G$5:$G$16,'02_目标分解'!$A$5:$A$16,A22,'02_目标分解'!$C$5:$C$16,C22)*10000*0.35*'01_主数据假设'!F$21/F22</f>
        <v>367.90878754171302</v>
      </c>
      <c r="M22" s="44">
        <f>SUMIFS('02_目标分解'!$G$5:$G$16,'02_目标分解'!$A$5:$A$16,A22,'02_目标分解'!$C$5:$C$16,C22)*10000*0.35*'01_主数据假设'!G$21/F22</f>
        <v>392.43604004449401</v>
      </c>
      <c r="N22" s="44">
        <f>SUMIFS('02_目标分解'!$G$5:$G$16,'02_目标分解'!$A$5:$A$16,A22,'02_目标分解'!$C$5:$C$16,C22)*10000*0.35*'01_主数据假设'!H$21/F22</f>
        <v>392.43604004449401</v>
      </c>
      <c r="O22" s="44">
        <f>SUMIFS('02_目标分解'!$G$5:$G$16,'02_目标分解'!$A$5:$A$16,A22,'02_目标分解'!$C$5:$C$16,C22)*10000*0.35*'01_主数据假设'!I$21/F22</f>
        <v>392.43604004449401</v>
      </c>
      <c r="P22" s="44">
        <f>SUMIFS('02_目标分解'!$G$5:$G$16,'02_目标分解'!$A$5:$A$16,A22,'02_目标分解'!$C$5:$C$16,C22)*10000*0.35*'01_主数据假设'!J$21/F22</f>
        <v>416.96329254727499</v>
      </c>
      <c r="Q22" s="44">
        <f>SUMIFS('02_目标分解'!$G$5:$G$16,'02_目标分解'!$A$5:$A$16,A22,'02_目标分解'!$C$5:$C$16,C22)*10000*0.35*'01_主数据假设'!K$21/F22</f>
        <v>441.49054505005603</v>
      </c>
      <c r="R22" s="44">
        <f>SUMIFS('02_目标分解'!$G$5:$G$16,'02_目标分解'!$A$5:$A$16,A22,'02_目标分解'!$C$5:$C$16,C22)*10000*0.35*'01_主数据假设'!L$21/F22</f>
        <v>539.59955506117899</v>
      </c>
      <c r="S22" s="44">
        <f>SUMIFS('02_目标分解'!$G$5:$G$16,'02_目标分解'!$A$5:$A$16,A22,'02_目标分解'!$C$5:$C$16,C22)*10000*0.35*'01_主数据假设'!M$21/F22</f>
        <v>613.18131256952199</v>
      </c>
      <c r="T22" s="44">
        <f t="shared" si="0"/>
        <v>4905.4505005561696</v>
      </c>
      <c r="U22" s="54">
        <f t="shared" si="1"/>
        <v>396.9</v>
      </c>
      <c r="V22" s="54">
        <f>SUMIFS('02_目标分解'!$G$5:$G$16,'02_目标分解'!$A$5:$A$16,A22,'02_目标分解'!$C$5:$C$16,C22)*0.35</f>
        <v>396.9</v>
      </c>
      <c r="W22" s="54">
        <f t="shared" si="2"/>
        <v>0</v>
      </c>
    </row>
    <row r="23" spans="1:23" ht="14.5">
      <c r="A23" s="12" t="s">
        <v>115</v>
      </c>
      <c r="B23" s="12" t="s">
        <v>116</v>
      </c>
      <c r="C23" s="12" t="s">
        <v>88</v>
      </c>
      <c r="D23" s="12" t="s">
        <v>89</v>
      </c>
      <c r="E23" s="12" t="s">
        <v>119</v>
      </c>
      <c r="F23" s="44">
        <f>SUMIFS('01_主数据假设'!$K$6:$K$8,'01_主数据假设'!$H$6:$H$8,C23)*SUMIFS('01_主数据假设'!$K$12:$K$15,'01_主数据假设'!$I$12:$I$15,E23)</f>
        <v>737.18</v>
      </c>
      <c r="G23" s="44">
        <f>SUMIFS('01_主数据假设'!$O$6:$O$8,'01_主数据假设'!$H$6:$H$8,C23)</f>
        <v>512</v>
      </c>
      <c r="H23" s="44">
        <f>SUMIFS('02_目标分解'!$G$5:$G$16,'02_目标分解'!$A$5:$A$16,A23,'02_目标分解'!$C$5:$C$16,C23)*10000*0.2*'01_主数据假设'!B$21/F23</f>
        <v>215.36124148783199</v>
      </c>
      <c r="I23" s="44">
        <f>SUMIFS('02_目标分解'!$G$5:$G$16,'02_目标分解'!$A$5:$A$16,A23,'02_目标分解'!$C$5:$C$16,C23)*10000*0.2*'01_主数据假设'!C$21/F23</f>
        <v>184.59534984671299</v>
      </c>
      <c r="J23" s="44">
        <f>SUMIFS('02_目标分解'!$G$5:$G$16,'02_目标分解'!$A$5:$A$16,A23,'02_目标分解'!$C$5:$C$16,C23)*10000*0.2*'01_主数据假设'!D$21/F23</f>
        <v>215.36124148783199</v>
      </c>
      <c r="K23" s="44">
        <f>SUMIFS('02_目标分解'!$G$5:$G$16,'02_目标分解'!$A$5:$A$16,A23,'02_目标分解'!$C$5:$C$16,C23)*10000*0.2*'01_主数据假设'!E$21/F23</f>
        <v>230.74418730839099</v>
      </c>
      <c r="L23" s="44">
        <f>SUMIFS('02_目标分解'!$G$5:$G$16,'02_目标分解'!$A$5:$A$16,A23,'02_目标分解'!$C$5:$C$16,C23)*10000*0.2*'01_主数据假设'!F$21/F23</f>
        <v>230.74418730839099</v>
      </c>
      <c r="M23" s="44">
        <f>SUMIFS('02_目标分解'!$G$5:$G$16,'02_目标分解'!$A$5:$A$16,A23,'02_目标分解'!$C$5:$C$16,C23)*10000*0.2*'01_主数据假设'!G$21/F23</f>
        <v>246.12713312895099</v>
      </c>
      <c r="N23" s="44">
        <f>SUMIFS('02_目标分解'!$G$5:$G$16,'02_目标分解'!$A$5:$A$16,A23,'02_目标分解'!$C$5:$C$16,C23)*10000*0.2*'01_主数据假设'!H$21/F23</f>
        <v>246.12713312895099</v>
      </c>
      <c r="O23" s="44">
        <f>SUMIFS('02_目标分解'!$G$5:$G$16,'02_目标分解'!$A$5:$A$16,A23,'02_目标分解'!$C$5:$C$16,C23)*10000*0.2*'01_主数据假设'!I$21/F23</f>
        <v>246.12713312895099</v>
      </c>
      <c r="P23" s="44">
        <f>SUMIFS('02_目标分解'!$G$5:$G$16,'02_目标分解'!$A$5:$A$16,A23,'02_目标分解'!$C$5:$C$16,C23)*10000*0.2*'01_主数据假设'!J$21/F23</f>
        <v>261.51007894950999</v>
      </c>
      <c r="Q23" s="44">
        <f>SUMIFS('02_目标分解'!$G$5:$G$16,'02_目标分解'!$A$5:$A$16,A23,'02_目标分解'!$C$5:$C$16,C23)*10000*0.2*'01_主数据假设'!K$21/F23</f>
        <v>276.89302477006999</v>
      </c>
      <c r="R23" s="44">
        <f>SUMIFS('02_目标分解'!$G$5:$G$16,'02_目标分解'!$A$5:$A$16,A23,'02_目标分解'!$C$5:$C$16,C23)*10000*0.2*'01_主数据假设'!L$21/F23</f>
        <v>338.42480805230701</v>
      </c>
      <c r="S23" s="44">
        <f>SUMIFS('02_目标分解'!$G$5:$G$16,'02_目标分解'!$A$5:$A$16,A23,'02_目标分解'!$C$5:$C$16,C23)*10000*0.2*'01_主数据假设'!M$21/F23</f>
        <v>384.57364551398598</v>
      </c>
      <c r="T23" s="44">
        <f t="shared" si="0"/>
        <v>3076.5891641118901</v>
      </c>
      <c r="U23" s="54">
        <f t="shared" si="1"/>
        <v>226.8</v>
      </c>
      <c r="V23" s="54">
        <f>SUMIFS('02_目标分解'!$G$5:$G$16,'02_目标分解'!$A$5:$A$16,A23,'02_目标分解'!$C$5:$C$16,C23)*0.2</f>
        <v>226.8</v>
      </c>
      <c r="W23" s="54">
        <f t="shared" si="2"/>
        <v>0</v>
      </c>
    </row>
    <row r="24" spans="1:23" ht="14.5">
      <c r="A24" s="12" t="s">
        <v>115</v>
      </c>
      <c r="B24" s="12" t="s">
        <v>116</v>
      </c>
      <c r="C24" s="12" t="s">
        <v>88</v>
      </c>
      <c r="D24" s="12" t="s">
        <v>89</v>
      </c>
      <c r="E24" s="12" t="s">
        <v>124</v>
      </c>
      <c r="F24" s="44">
        <f>SUMIFS('01_主数据假设'!$K$6:$K$8,'01_主数据假设'!$H$6:$H$8,C24)*SUMIFS('01_主数据假设'!$K$12:$K$15,'01_主数据假设'!$I$12:$I$15,E24)</f>
        <v>647.28</v>
      </c>
      <c r="G24" s="44">
        <f>SUMIFS('01_主数据假设'!$O$6:$O$8,'01_主数据假设'!$H$6:$H$8,C24)</f>
        <v>512</v>
      </c>
      <c r="H24" s="44">
        <f>SUMIFS('02_目标分解'!$G$5:$G$16,'02_目标分解'!$A$5:$A$16,A24,'02_目标分解'!$C$5:$C$16,C24)*10000*0.15*'01_主数据假设'!B$21/F24</f>
        <v>183.954393770857</v>
      </c>
      <c r="I24" s="44">
        <f>SUMIFS('02_目标分解'!$G$5:$G$16,'02_目标分解'!$A$5:$A$16,A24,'02_目标分解'!$C$5:$C$16,C24)*10000*0.15*'01_主数据假设'!C$21/F24</f>
        <v>157.67519466073401</v>
      </c>
      <c r="J24" s="44">
        <f>SUMIFS('02_目标分解'!$G$5:$G$16,'02_目标分解'!$A$5:$A$16,A24,'02_目标分解'!$C$5:$C$16,C24)*10000*0.15*'01_主数据假设'!D$21/F24</f>
        <v>183.954393770857</v>
      </c>
      <c r="K24" s="44">
        <f>SUMIFS('02_目标分解'!$G$5:$G$16,'02_目标分解'!$A$5:$A$16,A24,'02_目标分解'!$C$5:$C$16,C24)*10000*0.15*'01_主数据假设'!E$21/F24</f>
        <v>197.09399332591801</v>
      </c>
      <c r="L24" s="44">
        <f>SUMIFS('02_目标分解'!$G$5:$G$16,'02_目标分解'!$A$5:$A$16,A24,'02_目标分解'!$C$5:$C$16,C24)*10000*0.15*'01_主数据假设'!F$21/F24</f>
        <v>197.09399332591801</v>
      </c>
      <c r="M24" s="44">
        <f>SUMIFS('02_目标分解'!$G$5:$G$16,'02_目标分解'!$A$5:$A$16,A24,'02_目标分解'!$C$5:$C$16,C24)*10000*0.15*'01_主数据假设'!G$21/F24</f>
        <v>210.23359288097899</v>
      </c>
      <c r="N24" s="44">
        <f>SUMIFS('02_目标分解'!$G$5:$G$16,'02_目标分解'!$A$5:$A$16,A24,'02_目标分解'!$C$5:$C$16,C24)*10000*0.15*'01_主数据假设'!H$21/F24</f>
        <v>210.23359288097899</v>
      </c>
      <c r="O24" s="44">
        <f>SUMIFS('02_目标分解'!$G$5:$G$16,'02_目标分解'!$A$5:$A$16,A24,'02_目标分解'!$C$5:$C$16,C24)*10000*0.15*'01_主数据假设'!I$21/F24</f>
        <v>210.23359288097899</v>
      </c>
      <c r="P24" s="44">
        <f>SUMIFS('02_目标分解'!$G$5:$G$16,'02_目标分解'!$A$5:$A$16,A24,'02_目标分解'!$C$5:$C$16,C24)*10000*0.15*'01_主数据假设'!J$21/F24</f>
        <v>223.37319243604</v>
      </c>
      <c r="Q24" s="44">
        <f>SUMIFS('02_目标分解'!$G$5:$G$16,'02_目标分解'!$A$5:$A$16,A24,'02_目标分解'!$C$5:$C$16,C24)*10000*0.15*'01_主数据假设'!K$21/F24</f>
        <v>236.51279199110101</v>
      </c>
      <c r="R24" s="44">
        <f>SUMIFS('02_目标分解'!$G$5:$G$16,'02_目标分解'!$A$5:$A$16,A24,'02_目标分解'!$C$5:$C$16,C24)*10000*0.15*'01_主数据假设'!L$21/F24</f>
        <v>289.07119021134599</v>
      </c>
      <c r="S24" s="44">
        <f>SUMIFS('02_目标分解'!$G$5:$G$16,'02_目标分解'!$A$5:$A$16,A24,'02_目标分解'!$C$5:$C$16,C24)*10000*0.15*'01_主数据假设'!M$21/F24</f>
        <v>328.48998887652903</v>
      </c>
      <c r="T24" s="44">
        <f t="shared" si="0"/>
        <v>2627.9199110122399</v>
      </c>
      <c r="U24" s="54">
        <f t="shared" si="1"/>
        <v>170.1</v>
      </c>
      <c r="V24" s="54">
        <f>SUMIFS('02_目标分解'!$G$5:$G$16,'02_目标分解'!$A$5:$A$16,A24,'02_目标分解'!$C$5:$C$16,C24)*0.15</f>
        <v>170.1</v>
      </c>
      <c r="W24" s="54">
        <f t="shared" si="2"/>
        <v>0</v>
      </c>
    </row>
    <row r="25" spans="1:23" ht="14.5">
      <c r="A25" s="12" t="s">
        <v>115</v>
      </c>
      <c r="B25" s="12" t="s">
        <v>116</v>
      </c>
      <c r="C25" s="12" t="s">
        <v>93</v>
      </c>
      <c r="D25" s="12" t="s">
        <v>94</v>
      </c>
      <c r="E25" s="12" t="s">
        <v>109</v>
      </c>
      <c r="F25" s="44">
        <f>SUMIFS('01_主数据假设'!$K$6:$K$8,'01_主数据假设'!$H$6:$H$8,C25)*SUMIFS('01_主数据假设'!$K$12:$K$15,'01_主数据假设'!$I$12:$I$15,E25)</f>
        <v>1614.05</v>
      </c>
      <c r="G25" s="44">
        <f>SUMIFS('01_主数据假设'!$O$6:$O$8,'01_主数据假设'!$H$6:$H$8,C25)</f>
        <v>507</v>
      </c>
      <c r="H25" s="44">
        <f>SUMIFS('02_目标分解'!$G$5:$G$16,'02_目标分解'!$A$5:$A$16,A25,'02_目标分解'!$C$5:$C$16,C25)*10000*0.3*'01_主数据假设'!B$21/F25</f>
        <v>105.38706979337699</v>
      </c>
      <c r="I25" s="44">
        <f>SUMIFS('02_目标分解'!$G$5:$G$16,'02_目标分解'!$A$5:$A$16,A25,'02_目标分解'!$C$5:$C$16,C25)*10000*0.3*'01_主数据假设'!C$21/F25</f>
        <v>90.331774108608798</v>
      </c>
      <c r="J25" s="44">
        <f>SUMIFS('02_目标分解'!$G$5:$G$16,'02_目标分解'!$A$5:$A$16,A25,'02_目标分解'!$C$5:$C$16,C25)*10000*0.3*'01_主数据假设'!D$21/F25</f>
        <v>105.38706979337699</v>
      </c>
      <c r="K25" s="44">
        <f>SUMIFS('02_目标分解'!$G$5:$G$16,'02_目标分解'!$A$5:$A$16,A25,'02_目标分解'!$C$5:$C$16,C25)*10000*0.3*'01_主数据假设'!E$21/F25</f>
        <v>112.91471763576099</v>
      </c>
      <c r="L25" s="44">
        <f>SUMIFS('02_目标分解'!$G$5:$G$16,'02_目标分解'!$A$5:$A$16,A25,'02_目标分解'!$C$5:$C$16,C25)*10000*0.3*'01_主数据假设'!F$21/F25</f>
        <v>112.91471763576099</v>
      </c>
      <c r="M25" s="44">
        <f>SUMIFS('02_目标分解'!$G$5:$G$16,'02_目标分解'!$A$5:$A$16,A25,'02_目标分解'!$C$5:$C$16,C25)*10000*0.3*'01_主数据假设'!G$21/F25</f>
        <v>120.44236547814501</v>
      </c>
      <c r="N25" s="44">
        <f>SUMIFS('02_目标分解'!$G$5:$G$16,'02_目标分解'!$A$5:$A$16,A25,'02_目标分解'!$C$5:$C$16,C25)*10000*0.3*'01_主数据假设'!H$21/F25</f>
        <v>120.44236547814501</v>
      </c>
      <c r="O25" s="44">
        <f>SUMIFS('02_目标分解'!$G$5:$G$16,'02_目标分解'!$A$5:$A$16,A25,'02_目标分解'!$C$5:$C$16,C25)*10000*0.3*'01_主数据假设'!I$21/F25</f>
        <v>120.44236547814501</v>
      </c>
      <c r="P25" s="44">
        <f>SUMIFS('02_目标分解'!$G$5:$G$16,'02_目标分解'!$A$5:$A$16,A25,'02_目标分解'!$C$5:$C$16,C25)*10000*0.3*'01_主数据假设'!J$21/F25</f>
        <v>127.97001332052901</v>
      </c>
      <c r="Q25" s="44">
        <f>SUMIFS('02_目标分解'!$G$5:$G$16,'02_目标分解'!$A$5:$A$16,A25,'02_目标分解'!$C$5:$C$16,C25)*10000*0.3*'01_主数据假设'!K$21/F25</f>
        <v>135.497661162913</v>
      </c>
      <c r="R25" s="44">
        <f>SUMIFS('02_目标分解'!$G$5:$G$16,'02_目标分解'!$A$5:$A$16,A25,'02_目标分解'!$C$5:$C$16,C25)*10000*0.3*'01_主数据假设'!L$21/F25</f>
        <v>165.608252532449</v>
      </c>
      <c r="S25" s="44">
        <f>SUMIFS('02_目标分解'!$G$5:$G$16,'02_目标分解'!$A$5:$A$16,A25,'02_目标分解'!$C$5:$C$16,C25)*10000*0.3*'01_主数据假设'!M$21/F25</f>
        <v>188.19119605960199</v>
      </c>
      <c r="T25" s="44">
        <f t="shared" si="0"/>
        <v>1505.52956847681</v>
      </c>
      <c r="U25" s="54">
        <f t="shared" si="1"/>
        <v>243</v>
      </c>
      <c r="V25" s="54">
        <f>SUMIFS('02_目标分解'!$G$5:$G$16,'02_目标分解'!$A$5:$A$16,A25,'02_目标分解'!$C$5:$C$16,C25)*0.3</f>
        <v>243</v>
      </c>
      <c r="W25" s="54">
        <f t="shared" si="2"/>
        <v>0</v>
      </c>
    </row>
    <row r="26" spans="1:23" ht="14.5">
      <c r="A26" s="12" t="s">
        <v>115</v>
      </c>
      <c r="B26" s="12" t="s">
        <v>116</v>
      </c>
      <c r="C26" s="12" t="s">
        <v>93</v>
      </c>
      <c r="D26" s="12" t="s">
        <v>94</v>
      </c>
      <c r="E26" s="12" t="s">
        <v>114</v>
      </c>
      <c r="F26" s="44">
        <f>SUMIFS('01_主数据假设'!$K$6:$K$8,'01_主数据假设'!$H$6:$H$8,C26)*SUMIFS('01_主数据假设'!$K$12:$K$15,'01_主数据假设'!$I$12:$I$15,E26)</f>
        <v>1529.1</v>
      </c>
      <c r="G26" s="44">
        <f>SUMIFS('01_主数据假设'!$O$6:$O$8,'01_主数据假设'!$H$6:$H$8,C26)</f>
        <v>507</v>
      </c>
      <c r="H26" s="44">
        <f>SUMIFS('02_目标分解'!$G$5:$G$16,'02_目标分解'!$A$5:$A$16,A26,'02_目标分解'!$C$5:$C$16,C26)*10000*0.35*'01_主数据假设'!B$21/F26</f>
        <v>129.78222483814</v>
      </c>
      <c r="I26" s="44">
        <f>SUMIFS('02_目标分解'!$G$5:$G$16,'02_目标分解'!$A$5:$A$16,A26,'02_目标分解'!$C$5:$C$16,C26)*10000*0.35*'01_主数据假设'!C$21/F26</f>
        <v>111.24190700411999</v>
      </c>
      <c r="J26" s="44">
        <f>SUMIFS('02_目标分解'!$G$5:$G$16,'02_目标分解'!$A$5:$A$16,A26,'02_目标分解'!$C$5:$C$16,C26)*10000*0.35*'01_主数据假设'!D$21/F26</f>
        <v>129.78222483814</v>
      </c>
      <c r="K26" s="44">
        <f>SUMIFS('02_目标分解'!$G$5:$G$16,'02_目标分解'!$A$5:$A$16,A26,'02_目标分解'!$C$5:$C$16,C26)*10000*0.35*'01_主数据假设'!E$21/F26</f>
        <v>139.05238375515</v>
      </c>
      <c r="L26" s="44">
        <f>SUMIFS('02_目标分解'!$G$5:$G$16,'02_目标分解'!$A$5:$A$16,A26,'02_目标分解'!$C$5:$C$16,C26)*10000*0.35*'01_主数据假设'!F$21/F26</f>
        <v>139.05238375515</v>
      </c>
      <c r="M26" s="44">
        <f>SUMIFS('02_目标分解'!$G$5:$G$16,'02_目标分解'!$A$5:$A$16,A26,'02_目标分解'!$C$5:$C$16,C26)*10000*0.35*'01_主数据假设'!G$21/F26</f>
        <v>148.32254267216001</v>
      </c>
      <c r="N26" s="44">
        <f>SUMIFS('02_目标分解'!$G$5:$G$16,'02_目标分解'!$A$5:$A$16,A26,'02_目标分解'!$C$5:$C$16,C26)*10000*0.35*'01_主数据假设'!H$21/F26</f>
        <v>148.32254267216001</v>
      </c>
      <c r="O26" s="44">
        <f>SUMIFS('02_目标分解'!$G$5:$G$16,'02_目标分解'!$A$5:$A$16,A26,'02_目标分解'!$C$5:$C$16,C26)*10000*0.35*'01_主数据假设'!I$21/F26</f>
        <v>148.32254267216001</v>
      </c>
      <c r="P26" s="44">
        <f>SUMIFS('02_目标分解'!$G$5:$G$16,'02_目标分解'!$A$5:$A$16,A26,'02_目标分解'!$C$5:$C$16,C26)*10000*0.35*'01_主数据假设'!J$21/F26</f>
        <v>157.59270158916999</v>
      </c>
      <c r="Q26" s="44">
        <f>SUMIFS('02_目标分解'!$G$5:$G$16,'02_目标分解'!$A$5:$A$16,A26,'02_目标分解'!$C$5:$C$16,C26)*10000*0.35*'01_主数据假设'!K$21/F26</f>
        <v>166.86286050618</v>
      </c>
      <c r="R26" s="44">
        <f>SUMIFS('02_目标分解'!$G$5:$G$16,'02_目标分解'!$A$5:$A$16,A26,'02_目标分解'!$C$5:$C$16,C26)*10000*0.35*'01_主数据假设'!L$21/F26</f>
        <v>203.94349617422</v>
      </c>
      <c r="S26" s="44">
        <f>SUMIFS('02_目标分解'!$G$5:$G$16,'02_目标分解'!$A$5:$A$16,A26,'02_目标分解'!$C$5:$C$16,C26)*10000*0.35*'01_主数据假设'!M$21/F26</f>
        <v>231.75397292525</v>
      </c>
      <c r="T26" s="44">
        <f t="shared" si="0"/>
        <v>1854.031783402</v>
      </c>
      <c r="U26" s="54">
        <f t="shared" si="1"/>
        <v>283.5</v>
      </c>
      <c r="V26" s="54">
        <f>SUMIFS('02_目标分解'!$G$5:$G$16,'02_目标分解'!$A$5:$A$16,A26,'02_目标分解'!$C$5:$C$16,C26)*0.35</f>
        <v>283.5</v>
      </c>
      <c r="W26" s="54">
        <f t="shared" si="2"/>
        <v>0</v>
      </c>
    </row>
    <row r="27" spans="1:23" ht="14.5">
      <c r="A27" s="12" t="s">
        <v>115</v>
      </c>
      <c r="B27" s="12" t="s">
        <v>116</v>
      </c>
      <c r="C27" s="12" t="s">
        <v>93</v>
      </c>
      <c r="D27" s="12" t="s">
        <v>94</v>
      </c>
      <c r="E27" s="12" t="s">
        <v>119</v>
      </c>
      <c r="F27" s="44">
        <f>SUMIFS('01_主数据假设'!$K$6:$K$8,'01_主数据假设'!$H$6:$H$8,C27)*SUMIFS('01_主数据假设'!$K$12:$K$15,'01_主数据假设'!$I$12:$I$15,E27)</f>
        <v>1393.18</v>
      </c>
      <c r="G27" s="44">
        <f>SUMIFS('01_主数据假设'!$O$6:$O$8,'01_主数据假设'!$H$6:$H$8,C27)</f>
        <v>507</v>
      </c>
      <c r="H27" s="44">
        <f>SUMIFS('02_目标分解'!$G$5:$G$16,'02_目标分解'!$A$5:$A$16,A27,'02_目标分解'!$C$5:$C$16,C27)*10000*0.2*'01_主数据假设'!B$21/F27</f>
        <v>81.396517320087895</v>
      </c>
      <c r="I27" s="44">
        <f>SUMIFS('02_目标分解'!$G$5:$G$16,'02_目标分解'!$A$5:$A$16,A27,'02_目标分解'!$C$5:$C$16,C27)*10000*0.2*'01_主数据假设'!C$21/F27</f>
        <v>69.768443417218194</v>
      </c>
      <c r="J27" s="44">
        <f>SUMIFS('02_目标分解'!$G$5:$G$16,'02_目标分解'!$A$5:$A$16,A27,'02_目标分解'!$C$5:$C$16,C27)*10000*0.2*'01_主数据假设'!D$21/F27</f>
        <v>81.396517320087895</v>
      </c>
      <c r="K27" s="44">
        <f>SUMIFS('02_目标分解'!$G$5:$G$16,'02_目标分解'!$A$5:$A$16,A27,'02_目标分解'!$C$5:$C$16,C27)*10000*0.2*'01_主数据假设'!E$21/F27</f>
        <v>87.210554271522696</v>
      </c>
      <c r="L27" s="44">
        <f>SUMIFS('02_目标分解'!$G$5:$G$16,'02_目标分解'!$A$5:$A$16,A27,'02_目标分解'!$C$5:$C$16,C27)*10000*0.2*'01_主数据假设'!F$21/F27</f>
        <v>87.210554271522696</v>
      </c>
      <c r="M27" s="44">
        <f>SUMIFS('02_目标分解'!$G$5:$G$16,'02_目标分解'!$A$5:$A$16,A27,'02_目标分解'!$C$5:$C$16,C27)*10000*0.2*'01_主数据假设'!G$21/F27</f>
        <v>93.024591222957596</v>
      </c>
      <c r="N27" s="44">
        <f>SUMIFS('02_目标分解'!$G$5:$G$16,'02_目标分解'!$A$5:$A$16,A27,'02_目标分解'!$C$5:$C$16,C27)*10000*0.2*'01_主数据假设'!H$21/F27</f>
        <v>93.024591222957596</v>
      </c>
      <c r="O27" s="44">
        <f>SUMIFS('02_目标分解'!$G$5:$G$16,'02_目标分解'!$A$5:$A$16,A27,'02_目标分解'!$C$5:$C$16,C27)*10000*0.2*'01_主数据假设'!I$21/F27</f>
        <v>93.024591222957596</v>
      </c>
      <c r="P27" s="44">
        <f>SUMIFS('02_目标分解'!$G$5:$G$16,'02_目标分解'!$A$5:$A$16,A27,'02_目标分解'!$C$5:$C$16,C27)*10000*0.2*'01_主数据假设'!J$21/F27</f>
        <v>98.838628174392397</v>
      </c>
      <c r="Q27" s="44">
        <f>SUMIFS('02_目标分解'!$G$5:$G$16,'02_目标分解'!$A$5:$A$16,A27,'02_目标分解'!$C$5:$C$16,C27)*10000*0.2*'01_主数据假设'!K$21/F27</f>
        <v>104.652665125827</v>
      </c>
      <c r="R27" s="44">
        <f>SUMIFS('02_目标分解'!$G$5:$G$16,'02_目标分解'!$A$5:$A$16,A27,'02_目标分解'!$C$5:$C$16,C27)*10000*0.2*'01_主数据假设'!L$21/F27</f>
        <v>127.908812931567</v>
      </c>
      <c r="S27" s="44">
        <f>SUMIFS('02_目标分解'!$G$5:$G$16,'02_目标分解'!$A$5:$A$16,A27,'02_目标分解'!$C$5:$C$16,C27)*10000*0.2*'01_主数据假设'!M$21/F27</f>
        <v>145.350923785871</v>
      </c>
      <c r="T27" s="44">
        <f t="shared" si="0"/>
        <v>1162.8073902869701</v>
      </c>
      <c r="U27" s="54">
        <f t="shared" si="1"/>
        <v>162</v>
      </c>
      <c r="V27" s="54">
        <f>SUMIFS('02_目标分解'!$G$5:$G$16,'02_目标分解'!$A$5:$A$16,A27,'02_目标分解'!$C$5:$C$16,C27)*0.2</f>
        <v>162</v>
      </c>
      <c r="W27" s="54">
        <f t="shared" si="2"/>
        <v>0</v>
      </c>
    </row>
    <row r="28" spans="1:23" ht="14.5">
      <c r="A28" s="12" t="s">
        <v>115</v>
      </c>
      <c r="B28" s="12" t="s">
        <v>116</v>
      </c>
      <c r="C28" s="12" t="s">
        <v>93</v>
      </c>
      <c r="D28" s="12" t="s">
        <v>94</v>
      </c>
      <c r="E28" s="12" t="s">
        <v>124</v>
      </c>
      <c r="F28" s="44">
        <f>SUMIFS('01_主数据假设'!$K$6:$K$8,'01_主数据假设'!$H$6:$H$8,C28)*SUMIFS('01_主数据假设'!$K$12:$K$15,'01_主数据假设'!$I$12:$I$15,E28)</f>
        <v>1223.28</v>
      </c>
      <c r="G28" s="44">
        <f>SUMIFS('01_主数据假设'!$O$6:$O$8,'01_主数据假设'!$H$6:$H$8,C28)</f>
        <v>507</v>
      </c>
      <c r="H28" s="44">
        <f>SUMIFS('02_目标分解'!$G$5:$G$16,'02_目标分解'!$A$5:$A$16,A28,'02_目标分解'!$C$5:$C$16,C28)*10000*0.15*'01_主数据假设'!B$21/F28</f>
        <v>69.526191877575101</v>
      </c>
      <c r="I28" s="44">
        <f>SUMIFS('02_目标分解'!$G$5:$G$16,'02_目标分解'!$A$5:$A$16,A28,'02_目标分解'!$C$5:$C$16,C28)*10000*0.15*'01_主数据假设'!C$21/F28</f>
        <v>59.593878752207203</v>
      </c>
      <c r="J28" s="44">
        <f>SUMIFS('02_目标分解'!$G$5:$G$16,'02_目标分解'!$A$5:$A$16,A28,'02_目标分解'!$C$5:$C$16,C28)*10000*0.15*'01_主数据假设'!D$21/F28</f>
        <v>69.526191877575101</v>
      </c>
      <c r="K28" s="44">
        <f>SUMIFS('02_目标分解'!$G$5:$G$16,'02_目标分解'!$A$5:$A$16,A28,'02_目标分解'!$C$5:$C$16,C28)*10000*0.15*'01_主数据假设'!E$21/F28</f>
        <v>74.492348440258993</v>
      </c>
      <c r="L28" s="44">
        <f>SUMIFS('02_目标分解'!$G$5:$G$16,'02_目标分解'!$A$5:$A$16,A28,'02_目标分解'!$C$5:$C$16,C28)*10000*0.15*'01_主数据假设'!F$21/F28</f>
        <v>74.492348440258993</v>
      </c>
      <c r="M28" s="44">
        <f>SUMIFS('02_目标分解'!$G$5:$G$16,'02_目标分解'!$A$5:$A$16,A28,'02_目标分解'!$C$5:$C$16,C28)*10000*0.15*'01_主数据假设'!G$21/F28</f>
        <v>79.4585050029429</v>
      </c>
      <c r="N28" s="44">
        <f>SUMIFS('02_目标分解'!$G$5:$G$16,'02_目标分解'!$A$5:$A$16,A28,'02_目标分解'!$C$5:$C$16,C28)*10000*0.15*'01_主数据假设'!H$21/F28</f>
        <v>79.4585050029429</v>
      </c>
      <c r="O28" s="44">
        <f>SUMIFS('02_目标分解'!$G$5:$G$16,'02_目标分解'!$A$5:$A$16,A28,'02_目标分解'!$C$5:$C$16,C28)*10000*0.15*'01_主数据假设'!I$21/F28</f>
        <v>79.4585050029429</v>
      </c>
      <c r="P28" s="44">
        <f>SUMIFS('02_目标分解'!$G$5:$G$16,'02_目标分解'!$A$5:$A$16,A28,'02_目标分解'!$C$5:$C$16,C28)*10000*0.15*'01_主数据假设'!J$21/F28</f>
        <v>84.424661565626806</v>
      </c>
      <c r="Q28" s="44">
        <f>SUMIFS('02_目标分解'!$G$5:$G$16,'02_目标分解'!$A$5:$A$16,A28,'02_目标分解'!$C$5:$C$16,C28)*10000*0.15*'01_主数据假设'!K$21/F28</f>
        <v>89.390818128310798</v>
      </c>
      <c r="R28" s="44">
        <f>SUMIFS('02_目标分解'!$G$5:$G$16,'02_目标分解'!$A$5:$A$16,A28,'02_目标分解'!$C$5:$C$16,C28)*10000*0.15*'01_主数据假设'!L$21/F28</f>
        <v>109.255444379046</v>
      </c>
      <c r="S28" s="44">
        <f>SUMIFS('02_目标分解'!$G$5:$G$16,'02_目标分解'!$A$5:$A$16,A28,'02_目标分解'!$C$5:$C$16,C28)*10000*0.15*'01_主数据假设'!M$21/F28</f>
        <v>124.153914067098</v>
      </c>
      <c r="T28" s="44">
        <f t="shared" si="0"/>
        <v>993.23131253678605</v>
      </c>
      <c r="U28" s="54">
        <f t="shared" si="1"/>
        <v>121.5</v>
      </c>
      <c r="V28" s="54">
        <f>SUMIFS('02_目标分解'!$G$5:$G$16,'02_目标分解'!$A$5:$A$16,A28,'02_目标分解'!$C$5:$C$16,C28)*0.15</f>
        <v>121.5</v>
      </c>
      <c r="W28" s="54">
        <f t="shared" si="2"/>
        <v>0</v>
      </c>
    </row>
    <row r="29" spans="1:23" ht="14.5">
      <c r="A29" s="12" t="s">
        <v>120</v>
      </c>
      <c r="B29" s="12" t="s">
        <v>121</v>
      </c>
      <c r="C29" s="12" t="s">
        <v>82</v>
      </c>
      <c r="D29" s="12" t="s">
        <v>83</v>
      </c>
      <c r="E29" s="12" t="s">
        <v>109</v>
      </c>
      <c r="F29" s="44">
        <f>SUMIFS('01_主数据假设'!$K$6:$K$8,'01_主数据假设'!$H$6:$H$8,C29)*SUMIFS('01_主数据假设'!$K$12:$K$15,'01_主数据假设'!$I$12:$I$15,E29)</f>
        <v>1234.05</v>
      </c>
      <c r="G29" s="44">
        <f>SUMIFS('01_主数据假设'!$O$6:$O$8,'01_主数据假设'!$H$6:$H$8,C29)</f>
        <v>481</v>
      </c>
      <c r="H29" s="44">
        <f>SUMIFS('02_目标分解'!$G$5:$G$16,'02_目标分解'!$A$5:$A$16,A29,'02_目标分解'!$C$5:$C$16,C29)*10000*0.3*'01_主数据假设'!B$21/F29</f>
        <v>187.86921113407101</v>
      </c>
      <c r="I29" s="44">
        <f>SUMIFS('02_目标分解'!$G$5:$G$16,'02_目标分解'!$A$5:$A$16,A29,'02_目标分解'!$C$5:$C$16,C29)*10000*0.3*'01_主数据假设'!C$21/F29</f>
        <v>161.030752400632</v>
      </c>
      <c r="J29" s="44">
        <f>SUMIFS('02_目标分解'!$G$5:$G$16,'02_目标分解'!$A$5:$A$16,A29,'02_目标分解'!$C$5:$C$16,C29)*10000*0.3*'01_主数据假设'!D$21/F29</f>
        <v>187.86921113407101</v>
      </c>
      <c r="K29" s="44">
        <f>SUMIFS('02_目标分解'!$G$5:$G$16,'02_目标分解'!$A$5:$A$16,A29,'02_目标分解'!$C$5:$C$16,C29)*10000*0.3*'01_主数据假设'!E$21/F29</f>
        <v>201.28844050078999</v>
      </c>
      <c r="L29" s="44">
        <f>SUMIFS('02_目标分解'!$G$5:$G$16,'02_目标分解'!$A$5:$A$16,A29,'02_目标分解'!$C$5:$C$16,C29)*10000*0.3*'01_主数据假设'!F$21/F29</f>
        <v>201.28844050078999</v>
      </c>
      <c r="M29" s="44">
        <f>SUMIFS('02_目标分解'!$G$5:$G$16,'02_目标分解'!$A$5:$A$16,A29,'02_目标分解'!$C$5:$C$16,C29)*10000*0.3*'01_主数据假设'!G$21/F29</f>
        <v>214.707669867509</v>
      </c>
      <c r="N29" s="44">
        <f>SUMIFS('02_目标分解'!$G$5:$G$16,'02_目标分解'!$A$5:$A$16,A29,'02_目标分解'!$C$5:$C$16,C29)*10000*0.3*'01_主数据假设'!H$21/F29</f>
        <v>214.707669867509</v>
      </c>
      <c r="O29" s="44">
        <f>SUMIFS('02_目标分解'!$G$5:$G$16,'02_目标分解'!$A$5:$A$16,A29,'02_目标分解'!$C$5:$C$16,C29)*10000*0.3*'01_主数据假设'!I$21/F29</f>
        <v>214.707669867509</v>
      </c>
      <c r="P29" s="44">
        <f>SUMIFS('02_目标分解'!$G$5:$G$16,'02_目标分解'!$A$5:$A$16,A29,'02_目标分解'!$C$5:$C$16,C29)*10000*0.3*'01_主数据假设'!J$21/F29</f>
        <v>228.126899234229</v>
      </c>
      <c r="Q29" s="44">
        <f>SUMIFS('02_目标分解'!$G$5:$G$16,'02_目标分解'!$A$5:$A$16,A29,'02_目标分解'!$C$5:$C$16,C29)*10000*0.3*'01_主数据假设'!K$21/F29</f>
        <v>241.54612860094801</v>
      </c>
      <c r="R29" s="44">
        <f>SUMIFS('02_目标分解'!$G$5:$G$16,'02_目标分解'!$A$5:$A$16,A29,'02_目标分解'!$C$5:$C$16,C29)*10000*0.3*'01_主数据假设'!L$21/F29</f>
        <v>295.22304606782501</v>
      </c>
      <c r="S29" s="44">
        <f>SUMIFS('02_目标分解'!$G$5:$G$16,'02_目标分解'!$A$5:$A$16,A29,'02_目标分解'!$C$5:$C$16,C29)*10000*0.3*'01_主数据假设'!M$21/F29</f>
        <v>335.48073416798297</v>
      </c>
      <c r="T29" s="44">
        <f t="shared" si="0"/>
        <v>2683.8458733438702</v>
      </c>
      <c r="U29" s="54">
        <f t="shared" si="1"/>
        <v>331.2</v>
      </c>
      <c r="V29" s="54">
        <f>SUMIFS('02_目标分解'!$G$5:$G$16,'02_目标分解'!$A$5:$A$16,A29,'02_目标分解'!$C$5:$C$16,C29)*0.3</f>
        <v>331.2</v>
      </c>
      <c r="W29" s="54">
        <f t="shared" si="2"/>
        <v>0</v>
      </c>
    </row>
    <row r="30" spans="1:23" ht="14.5">
      <c r="A30" s="12" t="s">
        <v>120</v>
      </c>
      <c r="B30" s="12" t="s">
        <v>121</v>
      </c>
      <c r="C30" s="12" t="s">
        <v>82</v>
      </c>
      <c r="D30" s="12" t="s">
        <v>83</v>
      </c>
      <c r="E30" s="12" t="s">
        <v>114</v>
      </c>
      <c r="F30" s="44">
        <f>SUMIFS('01_主数据假设'!$K$6:$K$8,'01_主数据假设'!$H$6:$H$8,C30)*SUMIFS('01_主数据假设'!$K$12:$K$15,'01_主数据假设'!$I$12:$I$15,E30)</f>
        <v>1169.0999999999999</v>
      </c>
      <c r="G30" s="44">
        <f>SUMIFS('01_主数据假设'!$O$6:$O$8,'01_主数据假设'!$H$6:$H$8,C30)</f>
        <v>481</v>
      </c>
      <c r="H30" s="44">
        <f>SUMIFS('02_目标分解'!$G$5:$G$16,'02_目标分解'!$A$5:$A$16,A30,'02_目标分解'!$C$5:$C$16,C30)*10000*0.35*'01_主数据假设'!B$21/F30</f>
        <v>231.357454452143</v>
      </c>
      <c r="I30" s="44">
        <f>SUMIFS('02_目标分解'!$G$5:$G$16,'02_目标分解'!$A$5:$A$16,A30,'02_目标分解'!$C$5:$C$16,C30)*10000*0.35*'01_主数据假设'!C$21/F30</f>
        <v>198.30638953040801</v>
      </c>
      <c r="J30" s="44">
        <f>SUMIFS('02_目标分解'!$G$5:$G$16,'02_目标分解'!$A$5:$A$16,A30,'02_目标分解'!$C$5:$C$16,C30)*10000*0.35*'01_主数据假设'!D$21/F30</f>
        <v>231.357454452143</v>
      </c>
      <c r="K30" s="44">
        <f>SUMIFS('02_目标分解'!$G$5:$G$16,'02_目标分解'!$A$5:$A$16,A30,'02_目标分解'!$C$5:$C$16,C30)*10000*0.35*'01_主数据假设'!E$21/F30</f>
        <v>247.88298691301</v>
      </c>
      <c r="L30" s="44">
        <f>SUMIFS('02_目标分解'!$G$5:$G$16,'02_目标分解'!$A$5:$A$16,A30,'02_目标分解'!$C$5:$C$16,C30)*10000*0.35*'01_主数据假设'!F$21/F30</f>
        <v>247.88298691301</v>
      </c>
      <c r="M30" s="44">
        <f>SUMIFS('02_目标分解'!$G$5:$G$16,'02_目标分解'!$A$5:$A$16,A30,'02_目标分解'!$C$5:$C$16,C30)*10000*0.35*'01_主数据假设'!G$21/F30</f>
        <v>264.40851937387703</v>
      </c>
      <c r="N30" s="44">
        <f>SUMIFS('02_目标分解'!$G$5:$G$16,'02_目标分解'!$A$5:$A$16,A30,'02_目标分解'!$C$5:$C$16,C30)*10000*0.35*'01_主数据假设'!H$21/F30</f>
        <v>264.40851937387703</v>
      </c>
      <c r="O30" s="44">
        <f>SUMIFS('02_目标分解'!$G$5:$G$16,'02_目标分解'!$A$5:$A$16,A30,'02_目标分解'!$C$5:$C$16,C30)*10000*0.35*'01_主数据假设'!I$21/F30</f>
        <v>264.40851937387703</v>
      </c>
      <c r="P30" s="44">
        <f>SUMIFS('02_目标分解'!$G$5:$G$16,'02_目标分解'!$A$5:$A$16,A30,'02_目标分解'!$C$5:$C$16,C30)*10000*0.35*'01_主数据假设'!J$21/F30</f>
        <v>280.93405183474499</v>
      </c>
      <c r="Q30" s="44">
        <f>SUMIFS('02_目标分解'!$G$5:$G$16,'02_目标分解'!$A$5:$A$16,A30,'02_目标分解'!$C$5:$C$16,C30)*10000*0.35*'01_主数据假设'!K$21/F30</f>
        <v>297.45958429561199</v>
      </c>
      <c r="R30" s="44">
        <f>SUMIFS('02_目标分解'!$G$5:$G$16,'02_目标分解'!$A$5:$A$16,A30,'02_目标分解'!$C$5:$C$16,C30)*10000*0.35*'01_主数据假设'!L$21/F30</f>
        <v>363.561714139081</v>
      </c>
      <c r="S30" s="44">
        <f>SUMIFS('02_目标分解'!$G$5:$G$16,'02_目标分解'!$A$5:$A$16,A30,'02_目标分解'!$C$5:$C$16,C30)*10000*0.35*'01_主数据假设'!M$21/F30</f>
        <v>413.13831152168302</v>
      </c>
      <c r="T30" s="44">
        <f t="shared" si="0"/>
        <v>3305.1064921734701</v>
      </c>
      <c r="U30" s="54">
        <f t="shared" si="1"/>
        <v>386.4</v>
      </c>
      <c r="V30" s="54">
        <f>SUMIFS('02_目标分解'!$G$5:$G$16,'02_目标分解'!$A$5:$A$16,A30,'02_目标分解'!$C$5:$C$16,C30)*0.35</f>
        <v>386.4</v>
      </c>
      <c r="W30" s="54">
        <f t="shared" si="2"/>
        <v>0</v>
      </c>
    </row>
    <row r="31" spans="1:23" ht="14.5">
      <c r="A31" s="12" t="s">
        <v>120</v>
      </c>
      <c r="B31" s="12" t="s">
        <v>121</v>
      </c>
      <c r="C31" s="12" t="s">
        <v>82</v>
      </c>
      <c r="D31" s="12" t="s">
        <v>83</v>
      </c>
      <c r="E31" s="12" t="s">
        <v>119</v>
      </c>
      <c r="F31" s="44">
        <f>SUMIFS('01_主数据假设'!$K$6:$K$8,'01_主数据假设'!$H$6:$H$8,C31)*SUMIFS('01_主数据假设'!$K$12:$K$15,'01_主数据假设'!$I$12:$I$15,E31)</f>
        <v>1065.18</v>
      </c>
      <c r="G31" s="44">
        <f>SUMIFS('01_主数据假设'!$O$6:$O$8,'01_主数据假设'!$H$6:$H$8,C31)</f>
        <v>481</v>
      </c>
      <c r="H31" s="44">
        <f>SUMIFS('02_目标分解'!$G$5:$G$16,'02_目标分解'!$A$5:$A$16,A31,'02_目标分解'!$C$5:$C$16,C31)*10000*0.2*'01_主数据假设'!B$21/F31</f>
        <v>145.102236241762</v>
      </c>
      <c r="I31" s="44">
        <f>SUMIFS('02_目标分解'!$G$5:$G$16,'02_目标分解'!$A$5:$A$16,A31,'02_目标分解'!$C$5:$C$16,C31)*10000*0.2*'01_主数据假设'!C$21/F31</f>
        <v>124.373345350082</v>
      </c>
      <c r="J31" s="44">
        <f>SUMIFS('02_目标分解'!$G$5:$G$16,'02_目标分解'!$A$5:$A$16,A31,'02_目标分解'!$C$5:$C$16,C31)*10000*0.2*'01_主数据假设'!D$21/F31</f>
        <v>145.102236241762</v>
      </c>
      <c r="K31" s="44">
        <f>SUMIFS('02_目标分解'!$G$5:$G$16,'02_目标分解'!$A$5:$A$16,A31,'02_目标分解'!$C$5:$C$16,C31)*10000*0.2*'01_主数据假设'!E$21/F31</f>
        <v>155.46668168760201</v>
      </c>
      <c r="L31" s="44">
        <f>SUMIFS('02_目标分解'!$G$5:$G$16,'02_目标分解'!$A$5:$A$16,A31,'02_目标分解'!$C$5:$C$16,C31)*10000*0.2*'01_主数据假设'!F$21/F31</f>
        <v>155.46668168760201</v>
      </c>
      <c r="M31" s="44">
        <f>SUMIFS('02_目标分解'!$G$5:$G$16,'02_目标分解'!$A$5:$A$16,A31,'02_目标分解'!$C$5:$C$16,C31)*10000*0.2*'01_主数据假设'!G$21/F31</f>
        <v>165.83112713344201</v>
      </c>
      <c r="N31" s="44">
        <f>SUMIFS('02_目标分解'!$G$5:$G$16,'02_目标分解'!$A$5:$A$16,A31,'02_目标分解'!$C$5:$C$16,C31)*10000*0.2*'01_主数据假设'!H$21/F31</f>
        <v>165.83112713344201</v>
      </c>
      <c r="O31" s="44">
        <f>SUMIFS('02_目标分解'!$G$5:$G$16,'02_目标分解'!$A$5:$A$16,A31,'02_目标分解'!$C$5:$C$16,C31)*10000*0.2*'01_主数据假设'!I$21/F31</f>
        <v>165.83112713344201</v>
      </c>
      <c r="P31" s="44">
        <f>SUMIFS('02_目标分解'!$G$5:$G$16,'02_目标分解'!$A$5:$A$16,A31,'02_目标分解'!$C$5:$C$16,C31)*10000*0.2*'01_主数据假设'!J$21/F31</f>
        <v>176.19557257928199</v>
      </c>
      <c r="Q31" s="44">
        <f>SUMIFS('02_目标分解'!$G$5:$G$16,'02_目标分解'!$A$5:$A$16,A31,'02_目标分解'!$C$5:$C$16,C31)*10000*0.2*'01_主数据假设'!K$21/F31</f>
        <v>186.56001802512299</v>
      </c>
      <c r="R31" s="44">
        <f>SUMIFS('02_目标分解'!$G$5:$G$16,'02_目标分解'!$A$5:$A$16,A31,'02_目标分解'!$C$5:$C$16,C31)*10000*0.2*'01_主数据假设'!L$21/F31</f>
        <v>228.01779980848301</v>
      </c>
      <c r="S31" s="44">
        <f>SUMIFS('02_目标分解'!$G$5:$G$16,'02_目标分解'!$A$5:$A$16,A31,'02_目标分解'!$C$5:$C$16,C31)*10000*0.2*'01_主数据假设'!M$21/F31</f>
        <v>259.11113614600401</v>
      </c>
      <c r="T31" s="44">
        <f t="shared" si="0"/>
        <v>2072.8890891680298</v>
      </c>
      <c r="U31" s="54">
        <f t="shared" si="1"/>
        <v>220.8</v>
      </c>
      <c r="V31" s="54">
        <f>SUMIFS('02_目标分解'!$G$5:$G$16,'02_目标分解'!$A$5:$A$16,A31,'02_目标分解'!$C$5:$C$16,C31)*0.2</f>
        <v>220.8</v>
      </c>
      <c r="W31" s="54">
        <f t="shared" si="2"/>
        <v>0</v>
      </c>
    </row>
    <row r="32" spans="1:23" ht="14.5">
      <c r="A32" s="12" t="s">
        <v>120</v>
      </c>
      <c r="B32" s="12" t="s">
        <v>121</v>
      </c>
      <c r="C32" s="12" t="s">
        <v>82</v>
      </c>
      <c r="D32" s="12" t="s">
        <v>83</v>
      </c>
      <c r="E32" s="12" t="s">
        <v>124</v>
      </c>
      <c r="F32" s="44">
        <f>SUMIFS('01_主数据假设'!$K$6:$K$8,'01_主数据假设'!$H$6:$H$8,C32)*SUMIFS('01_主数据假设'!$K$12:$K$15,'01_主数据假设'!$I$12:$I$15,E32)</f>
        <v>935.28</v>
      </c>
      <c r="G32" s="44">
        <f>SUMIFS('01_主数据假设'!$O$6:$O$8,'01_主数据假设'!$H$6:$H$8,C32)</f>
        <v>481</v>
      </c>
      <c r="H32" s="44">
        <f>SUMIFS('02_目标分解'!$G$5:$G$16,'02_目标分解'!$A$5:$A$16,A32,'02_目标分解'!$C$5:$C$16,C32)*10000*0.15*'01_主数据假设'!B$21/F32</f>
        <v>123.941493456505</v>
      </c>
      <c r="I32" s="44">
        <f>SUMIFS('02_目标分解'!$G$5:$G$16,'02_目标分解'!$A$5:$A$16,A32,'02_目标分解'!$C$5:$C$16,C32)*10000*0.15*'01_主数据假设'!C$21/F32</f>
        <v>106.23556581986099</v>
      </c>
      <c r="J32" s="44">
        <f>SUMIFS('02_目标分解'!$G$5:$G$16,'02_目标分解'!$A$5:$A$16,A32,'02_目标分解'!$C$5:$C$16,C32)*10000*0.15*'01_主数据假设'!D$21/F32</f>
        <v>123.941493456505</v>
      </c>
      <c r="K32" s="44">
        <f>SUMIFS('02_目标分解'!$G$5:$G$16,'02_目标分解'!$A$5:$A$16,A32,'02_目标分解'!$C$5:$C$16,C32)*10000*0.15*'01_主数据假设'!E$21/F32</f>
        <v>132.79445727482701</v>
      </c>
      <c r="L32" s="44">
        <f>SUMIFS('02_目标分解'!$G$5:$G$16,'02_目标分解'!$A$5:$A$16,A32,'02_目标分解'!$C$5:$C$16,C32)*10000*0.15*'01_主数据假设'!F$21/F32</f>
        <v>132.79445727482701</v>
      </c>
      <c r="M32" s="44">
        <f>SUMIFS('02_目标分解'!$G$5:$G$16,'02_目标分解'!$A$5:$A$16,A32,'02_目标分解'!$C$5:$C$16,C32)*10000*0.15*'01_主数据假设'!G$21/F32</f>
        <v>141.64742109314901</v>
      </c>
      <c r="N32" s="44">
        <f>SUMIFS('02_目标分解'!$G$5:$G$16,'02_目标分解'!$A$5:$A$16,A32,'02_目标分解'!$C$5:$C$16,C32)*10000*0.15*'01_主数据假设'!H$21/F32</f>
        <v>141.64742109314901</v>
      </c>
      <c r="O32" s="44">
        <f>SUMIFS('02_目标分解'!$G$5:$G$16,'02_目标分解'!$A$5:$A$16,A32,'02_目标分解'!$C$5:$C$16,C32)*10000*0.15*'01_主数据假设'!I$21/F32</f>
        <v>141.64742109314901</v>
      </c>
      <c r="P32" s="44">
        <f>SUMIFS('02_目标分解'!$G$5:$G$16,'02_目标分解'!$A$5:$A$16,A32,'02_目标分解'!$C$5:$C$16,C32)*10000*0.15*'01_主数据假设'!J$21/F32</f>
        <v>150.50038491147001</v>
      </c>
      <c r="Q32" s="44">
        <f>SUMIFS('02_目标分解'!$G$5:$G$16,'02_目标分解'!$A$5:$A$16,A32,'02_目标分解'!$C$5:$C$16,C32)*10000*0.15*'01_主数据假设'!K$21/F32</f>
        <v>159.353348729792</v>
      </c>
      <c r="R32" s="44">
        <f>SUMIFS('02_目标分解'!$G$5:$G$16,'02_目标分解'!$A$5:$A$16,A32,'02_目标分解'!$C$5:$C$16,C32)*10000*0.15*'01_主数据假设'!L$21/F32</f>
        <v>194.76520400307899</v>
      </c>
      <c r="S32" s="44">
        <f>SUMIFS('02_目标分解'!$G$5:$G$16,'02_目标分解'!$A$5:$A$16,A32,'02_目标分解'!$C$5:$C$16,C32)*10000*0.15*'01_主数据假设'!M$21/F32</f>
        <v>221.32409545804501</v>
      </c>
      <c r="T32" s="44">
        <f t="shared" si="0"/>
        <v>1770.5927636643601</v>
      </c>
      <c r="U32" s="54">
        <f t="shared" si="1"/>
        <v>165.6</v>
      </c>
      <c r="V32" s="54">
        <f>SUMIFS('02_目标分解'!$G$5:$G$16,'02_目标分解'!$A$5:$A$16,A32,'02_目标分解'!$C$5:$C$16,C32)*0.15</f>
        <v>165.6</v>
      </c>
      <c r="W32" s="54">
        <f t="shared" si="2"/>
        <v>0</v>
      </c>
    </row>
    <row r="33" spans="1:23" ht="14.5">
      <c r="A33" s="12" t="s">
        <v>120</v>
      </c>
      <c r="B33" s="12" t="s">
        <v>121</v>
      </c>
      <c r="C33" s="12" t="s">
        <v>88</v>
      </c>
      <c r="D33" s="12" t="s">
        <v>89</v>
      </c>
      <c r="E33" s="12" t="s">
        <v>109</v>
      </c>
      <c r="F33" s="44">
        <f>SUMIFS('01_主数据假设'!$K$6:$K$8,'01_主数据假设'!$H$6:$H$8,C33)*SUMIFS('01_主数据假设'!$K$12:$K$15,'01_主数据假设'!$I$12:$I$15,E33)</f>
        <v>854.05</v>
      </c>
      <c r="G33" s="44">
        <f>SUMIFS('01_主数据假设'!$O$6:$O$8,'01_主数据假设'!$H$6:$H$8,C33)</f>
        <v>512</v>
      </c>
      <c r="H33" s="44">
        <f>SUMIFS('02_目标分解'!$G$5:$G$16,'02_目标分解'!$A$5:$A$16,A33,'02_目标分解'!$C$5:$C$16,C33)*10000*0.3*'01_主数据假设'!B$21/F33</f>
        <v>237.52707686903599</v>
      </c>
      <c r="I33" s="44">
        <f>SUMIFS('02_目标分解'!$G$5:$G$16,'02_目标分解'!$A$5:$A$16,A33,'02_目标分解'!$C$5:$C$16,C33)*10000*0.3*'01_主数据假设'!C$21/F33</f>
        <v>203.59463731631601</v>
      </c>
      <c r="J33" s="44">
        <f>SUMIFS('02_目标分解'!$G$5:$G$16,'02_目标分解'!$A$5:$A$16,A33,'02_目标分解'!$C$5:$C$16,C33)*10000*0.3*'01_主数据假设'!D$21/F33</f>
        <v>237.52707686903599</v>
      </c>
      <c r="K33" s="44">
        <f>SUMIFS('02_目标分解'!$G$5:$G$16,'02_目标分解'!$A$5:$A$16,A33,'02_目标分解'!$C$5:$C$16,C33)*10000*0.3*'01_主数据假设'!E$21/F33</f>
        <v>254.49329664539499</v>
      </c>
      <c r="L33" s="44">
        <f>SUMIFS('02_目标分解'!$G$5:$G$16,'02_目标分解'!$A$5:$A$16,A33,'02_目标分解'!$C$5:$C$16,C33)*10000*0.3*'01_主数据假设'!F$21/F33</f>
        <v>254.49329664539499</v>
      </c>
      <c r="M33" s="44">
        <f>SUMIFS('02_目标分解'!$G$5:$G$16,'02_目标分解'!$A$5:$A$16,A33,'02_目标分解'!$C$5:$C$16,C33)*10000*0.3*'01_主数据假设'!G$21/F33</f>
        <v>271.45951642175498</v>
      </c>
      <c r="N33" s="44">
        <f>SUMIFS('02_目标分解'!$G$5:$G$16,'02_目标分解'!$A$5:$A$16,A33,'02_目标分解'!$C$5:$C$16,C33)*10000*0.3*'01_主数据假设'!H$21/F33</f>
        <v>271.45951642175498</v>
      </c>
      <c r="O33" s="44">
        <f>SUMIFS('02_目标分解'!$G$5:$G$16,'02_目标分解'!$A$5:$A$16,A33,'02_目标分解'!$C$5:$C$16,C33)*10000*0.3*'01_主数据假设'!I$21/F33</f>
        <v>271.45951642175498</v>
      </c>
      <c r="P33" s="44">
        <f>SUMIFS('02_目标分解'!$G$5:$G$16,'02_目标分解'!$A$5:$A$16,A33,'02_目标分解'!$C$5:$C$16,C33)*10000*0.3*'01_主数据假设'!J$21/F33</f>
        <v>288.42573619811498</v>
      </c>
      <c r="Q33" s="44">
        <f>SUMIFS('02_目标分解'!$G$5:$G$16,'02_目标分解'!$A$5:$A$16,A33,'02_目标分解'!$C$5:$C$16,C33)*10000*0.3*'01_主数据假设'!K$21/F33</f>
        <v>305.39195597447502</v>
      </c>
      <c r="R33" s="44">
        <f>SUMIFS('02_目标分解'!$G$5:$G$16,'02_目标分解'!$A$5:$A$16,A33,'02_目标分解'!$C$5:$C$16,C33)*10000*0.3*'01_主数据假设'!L$21/F33</f>
        <v>373.256835079913</v>
      </c>
      <c r="S33" s="44">
        <f>SUMIFS('02_目标分解'!$G$5:$G$16,'02_目标分解'!$A$5:$A$16,A33,'02_目标分解'!$C$5:$C$16,C33)*10000*0.3*'01_主数据假设'!M$21/F33</f>
        <v>424.15549440899201</v>
      </c>
      <c r="T33" s="44">
        <f t="shared" si="0"/>
        <v>3393.2439552719402</v>
      </c>
      <c r="U33" s="54">
        <f t="shared" si="1"/>
        <v>289.8</v>
      </c>
      <c r="V33" s="54">
        <f>SUMIFS('02_目标分解'!$G$5:$G$16,'02_目标分解'!$A$5:$A$16,A33,'02_目标分解'!$C$5:$C$16,C33)*0.3</f>
        <v>289.8</v>
      </c>
      <c r="W33" s="54">
        <f t="shared" si="2"/>
        <v>0</v>
      </c>
    </row>
    <row r="34" spans="1:23" ht="14.5">
      <c r="A34" s="12" t="s">
        <v>120</v>
      </c>
      <c r="B34" s="12" t="s">
        <v>121</v>
      </c>
      <c r="C34" s="12" t="s">
        <v>88</v>
      </c>
      <c r="D34" s="12" t="s">
        <v>89</v>
      </c>
      <c r="E34" s="12" t="s">
        <v>114</v>
      </c>
      <c r="F34" s="44">
        <f>SUMIFS('01_主数据假设'!$K$6:$K$8,'01_主数据假设'!$H$6:$H$8,C34)*SUMIFS('01_主数据假设'!$K$12:$K$15,'01_主数据假设'!$I$12:$I$15,E34)</f>
        <v>809.1</v>
      </c>
      <c r="G34" s="44">
        <f>SUMIFS('01_主数据假设'!$O$6:$O$8,'01_主数据假设'!$H$6:$H$8,C34)</f>
        <v>512</v>
      </c>
      <c r="H34" s="44">
        <f>SUMIFS('02_目标分解'!$G$5:$G$16,'02_目标分解'!$A$5:$A$16,A34,'02_目标分解'!$C$5:$C$16,C34)*10000*0.35*'01_主数据假设'!B$21/F34</f>
        <v>292.510196514646</v>
      </c>
      <c r="I34" s="44">
        <f>SUMIFS('02_目标分解'!$G$5:$G$16,'02_目标分解'!$A$5:$A$16,A34,'02_目标分解'!$C$5:$C$16,C34)*10000*0.35*'01_主数据假设'!C$21/F34</f>
        <v>250.72302558398201</v>
      </c>
      <c r="J34" s="44">
        <f>SUMIFS('02_目标分解'!$G$5:$G$16,'02_目标分解'!$A$5:$A$16,A34,'02_目标分解'!$C$5:$C$16,C34)*10000*0.35*'01_主数据假设'!D$21/F34</f>
        <v>292.510196514646</v>
      </c>
      <c r="K34" s="44">
        <f>SUMIFS('02_目标分解'!$G$5:$G$16,'02_目标分解'!$A$5:$A$16,A34,'02_目标分解'!$C$5:$C$16,C34)*10000*0.35*'01_主数据假设'!E$21/F34</f>
        <v>313.40378197997802</v>
      </c>
      <c r="L34" s="44">
        <f>SUMIFS('02_目标分解'!$G$5:$G$16,'02_目标分解'!$A$5:$A$16,A34,'02_目标分解'!$C$5:$C$16,C34)*10000*0.35*'01_主数据假设'!F$21/F34</f>
        <v>313.40378197997802</v>
      </c>
      <c r="M34" s="44">
        <f>SUMIFS('02_目标分解'!$G$5:$G$16,'02_目标分解'!$A$5:$A$16,A34,'02_目标分解'!$C$5:$C$16,C34)*10000*0.35*'01_主数据假设'!G$21/F34</f>
        <v>334.29736744530999</v>
      </c>
      <c r="N34" s="44">
        <f>SUMIFS('02_目标分解'!$G$5:$G$16,'02_目标分解'!$A$5:$A$16,A34,'02_目标分解'!$C$5:$C$16,C34)*10000*0.35*'01_主数据假设'!H$21/F34</f>
        <v>334.29736744530999</v>
      </c>
      <c r="O34" s="44">
        <f>SUMIFS('02_目标分解'!$G$5:$G$16,'02_目标分解'!$A$5:$A$16,A34,'02_目标分解'!$C$5:$C$16,C34)*10000*0.35*'01_主数据假设'!I$21/F34</f>
        <v>334.29736744530999</v>
      </c>
      <c r="P34" s="44">
        <f>SUMIFS('02_目标分解'!$G$5:$G$16,'02_目标分解'!$A$5:$A$16,A34,'02_目标分解'!$C$5:$C$16,C34)*10000*0.35*'01_主数据假设'!J$21/F34</f>
        <v>355.19095291064099</v>
      </c>
      <c r="Q34" s="44">
        <f>SUMIFS('02_目标分解'!$G$5:$G$16,'02_目标分解'!$A$5:$A$16,A34,'02_目标分解'!$C$5:$C$16,C34)*10000*0.35*'01_主数据假设'!K$21/F34</f>
        <v>376.08453837597301</v>
      </c>
      <c r="R34" s="44">
        <f>SUMIFS('02_目标分解'!$G$5:$G$16,'02_目标分解'!$A$5:$A$16,A34,'02_目标分解'!$C$5:$C$16,C34)*10000*0.35*'01_主数据假设'!L$21/F34</f>
        <v>459.65888023730099</v>
      </c>
      <c r="S34" s="44">
        <f>SUMIFS('02_目标分解'!$G$5:$G$16,'02_目标分解'!$A$5:$A$16,A34,'02_目标分解'!$C$5:$C$16,C34)*10000*0.35*'01_主数据假设'!M$21/F34</f>
        <v>522.33963663329598</v>
      </c>
      <c r="T34" s="44">
        <f t="shared" si="0"/>
        <v>4178.7170930663697</v>
      </c>
      <c r="U34" s="54">
        <f t="shared" si="1"/>
        <v>338.1</v>
      </c>
      <c r="V34" s="54">
        <f>SUMIFS('02_目标分解'!$G$5:$G$16,'02_目标分解'!$A$5:$A$16,A34,'02_目标分解'!$C$5:$C$16,C34)*0.35</f>
        <v>338.1</v>
      </c>
      <c r="W34" s="54">
        <f t="shared" si="2"/>
        <v>0</v>
      </c>
    </row>
    <row r="35" spans="1:23" ht="14.5">
      <c r="A35" s="12" t="s">
        <v>120</v>
      </c>
      <c r="B35" s="12" t="s">
        <v>121</v>
      </c>
      <c r="C35" s="12" t="s">
        <v>88</v>
      </c>
      <c r="D35" s="12" t="s">
        <v>89</v>
      </c>
      <c r="E35" s="12" t="s">
        <v>119</v>
      </c>
      <c r="F35" s="44">
        <f>SUMIFS('01_主数据假设'!$K$6:$K$8,'01_主数据假设'!$H$6:$H$8,C35)*SUMIFS('01_主数据假设'!$K$12:$K$15,'01_主数据假设'!$I$12:$I$15,E35)</f>
        <v>737.18</v>
      </c>
      <c r="G35" s="44">
        <f>SUMIFS('01_主数据假设'!$O$6:$O$8,'01_主数据假设'!$H$6:$H$8,C35)</f>
        <v>512</v>
      </c>
      <c r="H35" s="44">
        <f>SUMIFS('02_目标分解'!$G$5:$G$16,'02_目标分解'!$A$5:$A$16,A35,'02_目标分解'!$C$5:$C$16,C35)*10000*0.2*'01_主数据假设'!B$21/F35</f>
        <v>183.45587237852399</v>
      </c>
      <c r="I35" s="44">
        <f>SUMIFS('02_目标分解'!$G$5:$G$16,'02_目标分解'!$A$5:$A$16,A35,'02_目标分解'!$C$5:$C$16,C35)*10000*0.2*'01_主数据假设'!C$21/F35</f>
        <v>157.24789061016301</v>
      </c>
      <c r="J35" s="44">
        <f>SUMIFS('02_目标分解'!$G$5:$G$16,'02_目标分解'!$A$5:$A$16,A35,'02_目标分解'!$C$5:$C$16,C35)*10000*0.2*'01_主数据假设'!D$21/F35</f>
        <v>183.45587237852399</v>
      </c>
      <c r="K35" s="44">
        <f>SUMIFS('02_目标分解'!$G$5:$G$16,'02_目标分解'!$A$5:$A$16,A35,'02_目标分解'!$C$5:$C$16,C35)*10000*0.2*'01_主数据假设'!E$21/F35</f>
        <v>196.559863262704</v>
      </c>
      <c r="L35" s="44">
        <f>SUMIFS('02_目标分解'!$G$5:$G$16,'02_目标分解'!$A$5:$A$16,A35,'02_目标分解'!$C$5:$C$16,C35)*10000*0.2*'01_主数据假设'!F$21/F35</f>
        <v>196.559863262704</v>
      </c>
      <c r="M35" s="44">
        <f>SUMIFS('02_目标分解'!$G$5:$G$16,'02_目标分解'!$A$5:$A$16,A35,'02_目标分解'!$C$5:$C$16,C35)*10000*0.2*'01_主数据假设'!G$21/F35</f>
        <v>209.66385414688401</v>
      </c>
      <c r="N35" s="44">
        <f>SUMIFS('02_目标分解'!$G$5:$G$16,'02_目标分解'!$A$5:$A$16,A35,'02_目标分解'!$C$5:$C$16,C35)*10000*0.2*'01_主数据假设'!H$21/F35</f>
        <v>209.66385414688401</v>
      </c>
      <c r="O35" s="44">
        <f>SUMIFS('02_目标分解'!$G$5:$G$16,'02_目标分解'!$A$5:$A$16,A35,'02_目标分解'!$C$5:$C$16,C35)*10000*0.2*'01_主数据假设'!I$21/F35</f>
        <v>209.66385414688401</v>
      </c>
      <c r="P35" s="44">
        <f>SUMIFS('02_目标分解'!$G$5:$G$16,'02_目标分解'!$A$5:$A$16,A35,'02_目标分解'!$C$5:$C$16,C35)*10000*0.2*'01_主数据假设'!J$21/F35</f>
        <v>222.76784503106401</v>
      </c>
      <c r="Q35" s="44">
        <f>SUMIFS('02_目标分解'!$G$5:$G$16,'02_目标分解'!$A$5:$A$16,A35,'02_目标分解'!$C$5:$C$16,C35)*10000*0.2*'01_主数据假设'!K$21/F35</f>
        <v>235.87183591524499</v>
      </c>
      <c r="R35" s="44">
        <f>SUMIFS('02_目标分解'!$G$5:$G$16,'02_目标分解'!$A$5:$A$16,A35,'02_目标分解'!$C$5:$C$16,C35)*10000*0.2*'01_主数据假设'!L$21/F35</f>
        <v>288.28779945196601</v>
      </c>
      <c r="S35" s="44">
        <f>SUMIFS('02_目标分解'!$G$5:$G$16,'02_目标分解'!$A$5:$A$16,A35,'02_目标分解'!$C$5:$C$16,C35)*10000*0.2*'01_主数据假设'!M$21/F35</f>
        <v>327.59977210450597</v>
      </c>
      <c r="T35" s="44">
        <f t="shared" si="0"/>
        <v>2620.7981768360501</v>
      </c>
      <c r="U35" s="54">
        <f t="shared" si="1"/>
        <v>193.2</v>
      </c>
      <c r="V35" s="54">
        <f>SUMIFS('02_目标分解'!$G$5:$G$16,'02_目标分解'!$A$5:$A$16,A35,'02_目标分解'!$C$5:$C$16,C35)*0.2</f>
        <v>193.2</v>
      </c>
      <c r="W35" s="54">
        <f t="shared" si="2"/>
        <v>0</v>
      </c>
    </row>
    <row r="36" spans="1:23" ht="14.5">
      <c r="A36" s="12" t="s">
        <v>120</v>
      </c>
      <c r="B36" s="12" t="s">
        <v>121</v>
      </c>
      <c r="C36" s="12" t="s">
        <v>88</v>
      </c>
      <c r="D36" s="12" t="s">
        <v>89</v>
      </c>
      <c r="E36" s="12" t="s">
        <v>124</v>
      </c>
      <c r="F36" s="44">
        <f>SUMIFS('01_主数据假设'!$K$6:$K$8,'01_主数据假设'!$H$6:$H$8,C36)*SUMIFS('01_主数据假设'!$K$12:$K$15,'01_主数据假设'!$I$12:$I$15,E36)</f>
        <v>647.28</v>
      </c>
      <c r="G36" s="44">
        <f>SUMIFS('01_主数据假设'!$O$6:$O$8,'01_主数据假设'!$H$6:$H$8,C36)</f>
        <v>512</v>
      </c>
      <c r="H36" s="44">
        <f>SUMIFS('02_目标分解'!$G$5:$G$16,'02_目标分解'!$A$5:$A$16,A36,'02_目标分解'!$C$5:$C$16,C36)*10000*0.15*'01_主数据假设'!B$21/F36</f>
        <v>156.70189098998901</v>
      </c>
      <c r="I36" s="44">
        <f>SUMIFS('02_目标分解'!$G$5:$G$16,'02_目标分解'!$A$5:$A$16,A36,'02_目标分解'!$C$5:$C$16,C36)*10000*0.15*'01_主数据假设'!C$21/F36</f>
        <v>134.315906562848</v>
      </c>
      <c r="J36" s="44">
        <f>SUMIFS('02_目标分解'!$G$5:$G$16,'02_目标分解'!$A$5:$A$16,A36,'02_目标分解'!$C$5:$C$16,C36)*10000*0.15*'01_主数据假设'!D$21/F36</f>
        <v>156.70189098998901</v>
      </c>
      <c r="K36" s="44">
        <f>SUMIFS('02_目标分解'!$G$5:$G$16,'02_目标分解'!$A$5:$A$16,A36,'02_目标分解'!$C$5:$C$16,C36)*10000*0.15*'01_主数据假设'!E$21/F36</f>
        <v>167.894883203559</v>
      </c>
      <c r="L36" s="44">
        <f>SUMIFS('02_目标分解'!$G$5:$G$16,'02_目标分解'!$A$5:$A$16,A36,'02_目标分解'!$C$5:$C$16,C36)*10000*0.15*'01_主数据假设'!F$21/F36</f>
        <v>167.894883203559</v>
      </c>
      <c r="M36" s="44">
        <f>SUMIFS('02_目标分解'!$G$5:$G$16,'02_目标分解'!$A$5:$A$16,A36,'02_目标分解'!$C$5:$C$16,C36)*10000*0.15*'01_主数据假设'!G$21/F36</f>
        <v>179.08787541712999</v>
      </c>
      <c r="N36" s="44">
        <f>SUMIFS('02_目标分解'!$G$5:$G$16,'02_目标分解'!$A$5:$A$16,A36,'02_目标分解'!$C$5:$C$16,C36)*10000*0.15*'01_主数据假设'!H$21/F36</f>
        <v>179.08787541712999</v>
      </c>
      <c r="O36" s="44">
        <f>SUMIFS('02_目标分解'!$G$5:$G$16,'02_目标分解'!$A$5:$A$16,A36,'02_目标分解'!$C$5:$C$16,C36)*10000*0.15*'01_主数据假设'!I$21/F36</f>
        <v>179.08787541712999</v>
      </c>
      <c r="P36" s="44">
        <f>SUMIFS('02_目标分解'!$G$5:$G$16,'02_目标分解'!$A$5:$A$16,A36,'02_目标分解'!$C$5:$C$16,C36)*10000*0.15*'01_主数据假设'!J$21/F36</f>
        <v>190.28086763070101</v>
      </c>
      <c r="Q36" s="44">
        <f>SUMIFS('02_目标分解'!$G$5:$G$16,'02_目标分解'!$A$5:$A$16,A36,'02_目标分解'!$C$5:$C$16,C36)*10000*0.15*'01_主数据假设'!K$21/F36</f>
        <v>201.473859844271</v>
      </c>
      <c r="R36" s="44">
        <f>SUMIFS('02_目标分解'!$G$5:$G$16,'02_目标分解'!$A$5:$A$16,A36,'02_目标分解'!$C$5:$C$16,C36)*10000*0.15*'01_主数据假设'!L$21/F36</f>
        <v>246.24582869855399</v>
      </c>
      <c r="S36" s="44">
        <f>SUMIFS('02_目标分解'!$G$5:$G$16,'02_目标分解'!$A$5:$A$16,A36,'02_目标分解'!$C$5:$C$16,C36)*10000*0.15*'01_主数据假设'!M$21/F36</f>
        <v>279.82480533926599</v>
      </c>
      <c r="T36" s="44">
        <f t="shared" si="0"/>
        <v>2238.5984427141302</v>
      </c>
      <c r="U36" s="54">
        <f t="shared" si="1"/>
        <v>144.9</v>
      </c>
      <c r="V36" s="54">
        <f>SUMIFS('02_目标分解'!$G$5:$G$16,'02_目标分解'!$A$5:$A$16,A36,'02_目标分解'!$C$5:$C$16,C36)*0.15</f>
        <v>144.9</v>
      </c>
      <c r="W36" s="54">
        <f t="shared" si="2"/>
        <v>0</v>
      </c>
    </row>
    <row r="37" spans="1:23" ht="14.5">
      <c r="A37" s="12" t="s">
        <v>120</v>
      </c>
      <c r="B37" s="12" t="s">
        <v>121</v>
      </c>
      <c r="C37" s="12" t="s">
        <v>93</v>
      </c>
      <c r="D37" s="12" t="s">
        <v>94</v>
      </c>
      <c r="E37" s="12" t="s">
        <v>109</v>
      </c>
      <c r="F37" s="44">
        <f>SUMIFS('01_主数据假设'!$K$6:$K$8,'01_主数据假设'!$H$6:$H$8,C37)*SUMIFS('01_主数据假设'!$K$12:$K$15,'01_主数据假设'!$I$12:$I$15,E37)</f>
        <v>1614.05</v>
      </c>
      <c r="G37" s="44">
        <f>SUMIFS('01_主数据假设'!$O$6:$O$8,'01_主数据假设'!$H$6:$H$8,C37)</f>
        <v>507</v>
      </c>
      <c r="H37" s="44">
        <f>SUMIFS('02_目标分解'!$G$5:$G$16,'02_目标分解'!$A$5:$A$16,A37,'02_目标分解'!$C$5:$C$16,C37)*10000*0.3*'01_主数据假设'!B$21/F37</f>
        <v>89.774170564728493</v>
      </c>
      <c r="I37" s="44">
        <f>SUMIFS('02_目标分解'!$G$5:$G$16,'02_目标分解'!$A$5:$A$16,A37,'02_目标分解'!$C$5:$C$16,C37)*10000*0.3*'01_主数据假设'!C$21/F37</f>
        <v>76.9492890554816</v>
      </c>
      <c r="J37" s="44">
        <f>SUMIFS('02_目标分解'!$G$5:$G$16,'02_目标分解'!$A$5:$A$16,A37,'02_目标分解'!$C$5:$C$16,C37)*10000*0.3*'01_主数据假设'!D$21/F37</f>
        <v>89.774170564728493</v>
      </c>
      <c r="K37" s="44">
        <f>SUMIFS('02_目标分解'!$G$5:$G$16,'02_目标分解'!$A$5:$A$16,A37,'02_目标分解'!$C$5:$C$16,C37)*10000*0.3*'01_主数据假设'!E$21/F37</f>
        <v>96.186611319351897</v>
      </c>
      <c r="L37" s="44">
        <f>SUMIFS('02_目标分解'!$G$5:$G$16,'02_目标分解'!$A$5:$A$16,A37,'02_目标分解'!$C$5:$C$16,C37)*10000*0.3*'01_主数据假设'!F$21/F37</f>
        <v>96.186611319351897</v>
      </c>
      <c r="M37" s="44">
        <f>SUMIFS('02_目标分解'!$G$5:$G$16,'02_目标分解'!$A$5:$A$16,A37,'02_目标分解'!$C$5:$C$16,C37)*10000*0.3*'01_主数据假设'!G$21/F37</f>
        <v>102.599052073975</v>
      </c>
      <c r="N37" s="44">
        <f>SUMIFS('02_目标分解'!$G$5:$G$16,'02_目标分解'!$A$5:$A$16,A37,'02_目标分解'!$C$5:$C$16,C37)*10000*0.3*'01_主数据假设'!H$21/F37</f>
        <v>102.599052073975</v>
      </c>
      <c r="O37" s="44">
        <f>SUMIFS('02_目标分解'!$G$5:$G$16,'02_目标分解'!$A$5:$A$16,A37,'02_目标分解'!$C$5:$C$16,C37)*10000*0.3*'01_主数据假设'!I$21/F37</f>
        <v>102.599052073975</v>
      </c>
      <c r="P37" s="44">
        <f>SUMIFS('02_目标分解'!$G$5:$G$16,'02_目标分解'!$A$5:$A$16,A37,'02_目标分解'!$C$5:$C$16,C37)*10000*0.3*'01_主数据假设'!J$21/F37</f>
        <v>109.011492828599</v>
      </c>
      <c r="Q37" s="44">
        <f>SUMIFS('02_目标分解'!$G$5:$G$16,'02_目标分解'!$A$5:$A$16,A37,'02_目标分解'!$C$5:$C$16,C37)*10000*0.3*'01_主数据假设'!K$21/F37</f>
        <v>115.423933583222</v>
      </c>
      <c r="R37" s="44">
        <f>SUMIFS('02_目标分解'!$G$5:$G$16,'02_目标分解'!$A$5:$A$16,A37,'02_目标分解'!$C$5:$C$16,C37)*10000*0.3*'01_主数据假设'!L$21/F37</f>
        <v>141.07369660171599</v>
      </c>
      <c r="S37" s="44">
        <f>SUMIFS('02_目标分解'!$G$5:$G$16,'02_目标分解'!$A$5:$A$16,A37,'02_目标分解'!$C$5:$C$16,C37)*10000*0.3*'01_主数据假设'!M$21/F37</f>
        <v>160.31101886558699</v>
      </c>
      <c r="T37" s="44">
        <f t="shared" si="0"/>
        <v>1282.48815092469</v>
      </c>
      <c r="U37" s="54">
        <f t="shared" si="1"/>
        <v>207</v>
      </c>
      <c r="V37" s="54">
        <f>SUMIFS('02_目标分解'!$G$5:$G$16,'02_目标分解'!$A$5:$A$16,A37,'02_目标分解'!$C$5:$C$16,C37)*0.3</f>
        <v>207</v>
      </c>
      <c r="W37" s="54">
        <f t="shared" si="2"/>
        <v>0</v>
      </c>
    </row>
    <row r="38" spans="1:23" ht="14.5">
      <c r="A38" s="12" t="s">
        <v>120</v>
      </c>
      <c r="B38" s="12" t="s">
        <v>121</v>
      </c>
      <c r="C38" s="12" t="s">
        <v>93</v>
      </c>
      <c r="D38" s="12" t="s">
        <v>94</v>
      </c>
      <c r="E38" s="12" t="s">
        <v>114</v>
      </c>
      <c r="F38" s="44">
        <f>SUMIFS('01_主数据假设'!$K$6:$K$8,'01_主数据假设'!$H$6:$H$8,C38)*SUMIFS('01_主数据假设'!$K$12:$K$15,'01_主数据假设'!$I$12:$I$15,E38)</f>
        <v>1529.1</v>
      </c>
      <c r="G38" s="44">
        <f>SUMIFS('01_主数据假设'!$O$6:$O$8,'01_主数据假设'!$H$6:$H$8,C38)</f>
        <v>507</v>
      </c>
      <c r="H38" s="44">
        <f>SUMIFS('02_目标分解'!$G$5:$G$16,'02_目标分解'!$A$5:$A$16,A38,'02_目标分解'!$C$5:$C$16,C38)*10000*0.35*'01_主数据假设'!B$21/F38</f>
        <v>110.555228565823</v>
      </c>
      <c r="I38" s="44">
        <f>SUMIFS('02_目标分解'!$G$5:$G$16,'02_目标分解'!$A$5:$A$16,A38,'02_目标分解'!$C$5:$C$16,C38)*10000*0.35*'01_主数据假设'!C$21/F38</f>
        <v>94.761624484991202</v>
      </c>
      <c r="J38" s="44">
        <f>SUMIFS('02_目标分解'!$G$5:$G$16,'02_目标分解'!$A$5:$A$16,A38,'02_目标分解'!$C$5:$C$16,C38)*10000*0.35*'01_主数据假设'!D$21/F38</f>
        <v>110.555228565823</v>
      </c>
      <c r="K38" s="44">
        <f>SUMIFS('02_目标分解'!$G$5:$G$16,'02_目标分解'!$A$5:$A$16,A38,'02_目标分解'!$C$5:$C$16,C38)*10000*0.35*'01_主数据假设'!E$21/F38</f>
        <v>118.45203060623901</v>
      </c>
      <c r="L38" s="44">
        <f>SUMIFS('02_目标分解'!$G$5:$G$16,'02_目标分解'!$A$5:$A$16,A38,'02_目标分解'!$C$5:$C$16,C38)*10000*0.35*'01_主数据假设'!F$21/F38</f>
        <v>118.45203060623901</v>
      </c>
      <c r="M38" s="44">
        <f>SUMIFS('02_目标分解'!$G$5:$G$16,'02_目标分解'!$A$5:$A$16,A38,'02_目标分解'!$C$5:$C$16,C38)*10000*0.35*'01_主数据假设'!G$21/F38</f>
        <v>126.348832646655</v>
      </c>
      <c r="N38" s="44">
        <f>SUMIFS('02_目标分解'!$G$5:$G$16,'02_目标分解'!$A$5:$A$16,A38,'02_目标分解'!$C$5:$C$16,C38)*10000*0.35*'01_主数据假设'!H$21/F38</f>
        <v>126.348832646655</v>
      </c>
      <c r="O38" s="44">
        <f>SUMIFS('02_目标分解'!$G$5:$G$16,'02_目标分解'!$A$5:$A$16,A38,'02_目标分解'!$C$5:$C$16,C38)*10000*0.35*'01_主数据假设'!I$21/F38</f>
        <v>126.348832646655</v>
      </c>
      <c r="P38" s="44">
        <f>SUMIFS('02_目标分解'!$G$5:$G$16,'02_目标分解'!$A$5:$A$16,A38,'02_目标分解'!$C$5:$C$16,C38)*10000*0.35*'01_主数据假设'!J$21/F38</f>
        <v>134.245634687071</v>
      </c>
      <c r="Q38" s="44">
        <f>SUMIFS('02_目标分解'!$G$5:$G$16,'02_目标分解'!$A$5:$A$16,A38,'02_目标分解'!$C$5:$C$16,C38)*10000*0.35*'01_主数据假设'!K$21/F38</f>
        <v>142.142436727487</v>
      </c>
      <c r="R38" s="44">
        <f>SUMIFS('02_目标分解'!$G$5:$G$16,'02_目标分解'!$A$5:$A$16,A38,'02_目标分解'!$C$5:$C$16,C38)*10000*0.35*'01_主数据假设'!L$21/F38</f>
        <v>173.72964488914999</v>
      </c>
      <c r="S38" s="44">
        <f>SUMIFS('02_目标分解'!$G$5:$G$16,'02_目标分解'!$A$5:$A$16,A38,'02_目标分解'!$C$5:$C$16,C38)*10000*0.35*'01_主数据假设'!M$21/F38</f>
        <v>197.420051010398</v>
      </c>
      <c r="T38" s="44">
        <f t="shared" si="0"/>
        <v>1579.3604080831899</v>
      </c>
      <c r="U38" s="54">
        <f t="shared" si="1"/>
        <v>241.5</v>
      </c>
      <c r="V38" s="54">
        <f>SUMIFS('02_目标分解'!$G$5:$G$16,'02_目标分解'!$A$5:$A$16,A38,'02_目标分解'!$C$5:$C$16,C38)*0.35</f>
        <v>241.5</v>
      </c>
      <c r="W38" s="54">
        <f t="shared" si="2"/>
        <v>0</v>
      </c>
    </row>
    <row r="39" spans="1:23" ht="14.5">
      <c r="A39" s="12" t="s">
        <v>120</v>
      </c>
      <c r="B39" s="12" t="s">
        <v>121</v>
      </c>
      <c r="C39" s="12" t="s">
        <v>93</v>
      </c>
      <c r="D39" s="12" t="s">
        <v>94</v>
      </c>
      <c r="E39" s="12" t="s">
        <v>119</v>
      </c>
      <c r="F39" s="44">
        <f>SUMIFS('01_主数据假设'!$K$6:$K$8,'01_主数据假设'!$H$6:$H$8,C39)*SUMIFS('01_主数据假设'!$K$12:$K$15,'01_主数据假设'!$I$12:$I$15,E39)</f>
        <v>1393.18</v>
      </c>
      <c r="G39" s="44">
        <f>SUMIFS('01_主数据假设'!$O$6:$O$8,'01_主数据假设'!$H$6:$H$8,C39)</f>
        <v>507</v>
      </c>
      <c r="H39" s="44">
        <f>SUMIFS('02_目标分解'!$G$5:$G$16,'02_目标分解'!$A$5:$A$16,A39,'02_目标分解'!$C$5:$C$16,C39)*10000*0.2*'01_主数据假设'!B$21/F39</f>
        <v>69.337774013408193</v>
      </c>
      <c r="I39" s="44">
        <f>SUMIFS('02_目标分解'!$G$5:$G$16,'02_目标分解'!$A$5:$A$16,A39,'02_目标分解'!$C$5:$C$16,C39)*10000*0.2*'01_主数据假设'!C$21/F39</f>
        <v>59.432377725778402</v>
      </c>
      <c r="J39" s="44">
        <f>SUMIFS('02_目标分解'!$G$5:$G$16,'02_目标分解'!$A$5:$A$16,A39,'02_目标分解'!$C$5:$C$16,C39)*10000*0.2*'01_主数据假设'!D$21/F39</f>
        <v>69.337774013408193</v>
      </c>
      <c r="K39" s="44">
        <f>SUMIFS('02_目标分解'!$G$5:$G$16,'02_目标分解'!$A$5:$A$16,A39,'02_目标分解'!$C$5:$C$16,C39)*10000*0.2*'01_主数据假设'!E$21/F39</f>
        <v>74.290472157222993</v>
      </c>
      <c r="L39" s="44">
        <f>SUMIFS('02_目标分解'!$G$5:$G$16,'02_目标分解'!$A$5:$A$16,A39,'02_目标分解'!$C$5:$C$16,C39)*10000*0.2*'01_主数据假设'!F$21/F39</f>
        <v>74.290472157222993</v>
      </c>
      <c r="M39" s="44">
        <f>SUMIFS('02_目标分解'!$G$5:$G$16,'02_目标分解'!$A$5:$A$16,A39,'02_目标分解'!$C$5:$C$16,C39)*10000*0.2*'01_主数据假设'!G$21/F39</f>
        <v>79.243170301037907</v>
      </c>
      <c r="N39" s="44">
        <f>SUMIFS('02_目标分解'!$G$5:$G$16,'02_目标分解'!$A$5:$A$16,A39,'02_目标分解'!$C$5:$C$16,C39)*10000*0.2*'01_主数据假设'!H$21/F39</f>
        <v>79.243170301037907</v>
      </c>
      <c r="O39" s="44">
        <f>SUMIFS('02_目标分解'!$G$5:$G$16,'02_目标分解'!$A$5:$A$16,A39,'02_目标分解'!$C$5:$C$16,C39)*10000*0.2*'01_主数据假设'!I$21/F39</f>
        <v>79.243170301037907</v>
      </c>
      <c r="P39" s="44">
        <f>SUMIFS('02_目标分解'!$G$5:$G$16,'02_目标分解'!$A$5:$A$16,A39,'02_目标分解'!$C$5:$C$16,C39)*10000*0.2*'01_主数据假设'!J$21/F39</f>
        <v>84.195868444852806</v>
      </c>
      <c r="Q39" s="44">
        <f>SUMIFS('02_目标分解'!$G$5:$G$16,'02_目标分解'!$A$5:$A$16,A39,'02_目标分解'!$C$5:$C$16,C39)*10000*0.2*'01_主数据假设'!K$21/F39</f>
        <v>89.148566588667705</v>
      </c>
      <c r="R39" s="44">
        <f>SUMIFS('02_目标分解'!$G$5:$G$16,'02_目标分解'!$A$5:$A$16,A39,'02_目标分解'!$C$5:$C$16,C39)*10000*0.2*'01_主数据假设'!L$21/F39</f>
        <v>108.959359163927</v>
      </c>
      <c r="S39" s="44">
        <f>SUMIFS('02_目标分解'!$G$5:$G$16,'02_目标分解'!$A$5:$A$16,A39,'02_目标分解'!$C$5:$C$16,C39)*10000*0.2*'01_主数据假设'!M$21/F39</f>
        <v>123.817453595372</v>
      </c>
      <c r="T39" s="44">
        <f t="shared" si="0"/>
        <v>990.53962876297396</v>
      </c>
      <c r="U39" s="54">
        <f t="shared" si="1"/>
        <v>138</v>
      </c>
      <c r="V39" s="54">
        <f>SUMIFS('02_目标分解'!$G$5:$G$16,'02_目标分解'!$A$5:$A$16,A39,'02_目标分解'!$C$5:$C$16,C39)*0.2</f>
        <v>138</v>
      </c>
      <c r="W39" s="54">
        <f t="shared" si="2"/>
        <v>0</v>
      </c>
    </row>
    <row r="40" spans="1:23" ht="14.5">
      <c r="A40" s="12" t="s">
        <v>120</v>
      </c>
      <c r="B40" s="12" t="s">
        <v>121</v>
      </c>
      <c r="C40" s="12" t="s">
        <v>93</v>
      </c>
      <c r="D40" s="12" t="s">
        <v>94</v>
      </c>
      <c r="E40" s="12" t="s">
        <v>124</v>
      </c>
      <c r="F40" s="44">
        <f>SUMIFS('01_主数据假设'!$K$6:$K$8,'01_主数据假设'!$H$6:$H$8,C40)*SUMIFS('01_主数据假设'!$K$12:$K$15,'01_主数据假设'!$I$12:$I$15,E40)</f>
        <v>1223.28</v>
      </c>
      <c r="G40" s="44">
        <f>SUMIFS('01_主数据假设'!$O$6:$O$8,'01_主数据假设'!$H$6:$H$8,C40)</f>
        <v>507</v>
      </c>
      <c r="H40" s="44">
        <f>SUMIFS('02_目标分解'!$G$5:$G$16,'02_目标分解'!$A$5:$A$16,A40,'02_目标分解'!$C$5:$C$16,C40)*10000*0.15*'01_主数据假设'!B$21/F40</f>
        <v>59.226015303119503</v>
      </c>
      <c r="I40" s="44">
        <f>SUMIFS('02_目标分解'!$G$5:$G$16,'02_目标分解'!$A$5:$A$16,A40,'02_目标分解'!$C$5:$C$16,C40)*10000*0.15*'01_主数据假设'!C$21/F40</f>
        <v>50.765155974102399</v>
      </c>
      <c r="J40" s="44">
        <f>SUMIFS('02_目标分解'!$G$5:$G$16,'02_目标分解'!$A$5:$A$16,A40,'02_目标分解'!$C$5:$C$16,C40)*10000*0.15*'01_主数据假设'!D$21/F40</f>
        <v>59.226015303119503</v>
      </c>
      <c r="K40" s="44">
        <f>SUMIFS('02_目标分解'!$G$5:$G$16,'02_目标分解'!$A$5:$A$16,A40,'02_目标分解'!$C$5:$C$16,C40)*10000*0.15*'01_主数据假设'!E$21/F40</f>
        <v>63.456444967628002</v>
      </c>
      <c r="L40" s="44">
        <f>SUMIFS('02_目标分解'!$G$5:$G$16,'02_目标分解'!$A$5:$A$16,A40,'02_目标分解'!$C$5:$C$16,C40)*10000*0.15*'01_主数据假设'!F$21/F40</f>
        <v>63.456444967628002</v>
      </c>
      <c r="M40" s="44">
        <f>SUMIFS('02_目标分解'!$G$5:$G$16,'02_目标分解'!$A$5:$A$16,A40,'02_目标分解'!$C$5:$C$16,C40)*10000*0.15*'01_主数据假设'!G$21/F40</f>
        <v>67.686874632136593</v>
      </c>
      <c r="N40" s="44">
        <f>SUMIFS('02_目标分解'!$G$5:$G$16,'02_目标分解'!$A$5:$A$16,A40,'02_目标分解'!$C$5:$C$16,C40)*10000*0.15*'01_主数据假设'!H$21/F40</f>
        <v>67.686874632136593</v>
      </c>
      <c r="O40" s="44">
        <f>SUMIFS('02_目标分解'!$G$5:$G$16,'02_目标分解'!$A$5:$A$16,A40,'02_目标分解'!$C$5:$C$16,C40)*10000*0.15*'01_主数据假设'!I$21/F40</f>
        <v>67.686874632136593</v>
      </c>
      <c r="P40" s="44">
        <f>SUMIFS('02_目标分解'!$G$5:$G$16,'02_目标分解'!$A$5:$A$16,A40,'02_目标分解'!$C$5:$C$16,C40)*10000*0.15*'01_主数据假设'!J$21/F40</f>
        <v>71.917304296645099</v>
      </c>
      <c r="Q40" s="44">
        <f>SUMIFS('02_目标分解'!$G$5:$G$16,'02_目标分解'!$A$5:$A$16,A40,'02_目标分解'!$C$5:$C$16,C40)*10000*0.15*'01_主数据假设'!K$21/F40</f>
        <v>76.147733961153605</v>
      </c>
      <c r="R40" s="44">
        <f>SUMIFS('02_目标分解'!$G$5:$G$16,'02_目标分解'!$A$5:$A$16,A40,'02_目标分解'!$C$5:$C$16,C40)*10000*0.15*'01_主数据假设'!L$21/F40</f>
        <v>93.0694526191878</v>
      </c>
      <c r="S40" s="44">
        <f>SUMIFS('02_目标分解'!$G$5:$G$16,'02_目标分解'!$A$5:$A$16,A40,'02_目标分解'!$C$5:$C$16,C40)*10000*0.15*'01_主数据假设'!M$21/F40</f>
        <v>105.76074161271301</v>
      </c>
      <c r="T40" s="44">
        <f t="shared" si="0"/>
        <v>846.085932901707</v>
      </c>
      <c r="U40" s="54">
        <f t="shared" si="1"/>
        <v>103.5</v>
      </c>
      <c r="V40" s="54">
        <f>SUMIFS('02_目标分解'!$G$5:$G$16,'02_目标分解'!$A$5:$A$16,A40,'02_目标分解'!$C$5:$C$16,C40)*0.15</f>
        <v>103.5</v>
      </c>
      <c r="W40" s="54">
        <f t="shared" si="2"/>
        <v>0</v>
      </c>
    </row>
    <row r="41" spans="1:23" ht="14.5">
      <c r="A41" s="12" t="s">
        <v>125</v>
      </c>
      <c r="B41" s="12" t="s">
        <v>126</v>
      </c>
      <c r="C41" s="12" t="s">
        <v>82</v>
      </c>
      <c r="D41" s="12" t="s">
        <v>83</v>
      </c>
      <c r="E41" s="12" t="s">
        <v>109</v>
      </c>
      <c r="F41" s="44">
        <f>SUMIFS('01_主数据假设'!$K$6:$K$8,'01_主数据假设'!$H$6:$H$8,C41)*SUMIFS('01_主数据假设'!$K$12:$K$15,'01_主数据假设'!$I$12:$I$15,E41)</f>
        <v>1234.05</v>
      </c>
      <c r="G41" s="44">
        <f>SUMIFS('01_主数据假设'!$O$6:$O$8,'01_主数据假设'!$H$6:$H$8,C41)</f>
        <v>481</v>
      </c>
      <c r="H41" s="44">
        <f>SUMIFS('02_目标分解'!$G$5:$G$16,'02_目标分解'!$A$5:$A$16,A41,'02_目标分解'!$C$5:$C$16,C41)*10000*0.3*'01_主数据假设'!B$21/F41</f>
        <v>130.69162513674499</v>
      </c>
      <c r="I41" s="44">
        <f>SUMIFS('02_目标分解'!$G$5:$G$16,'02_目标分解'!$A$5:$A$16,A41,'02_目标分解'!$C$5:$C$16,C41)*10000*0.3*'01_主数据假设'!C$21/F41</f>
        <v>112.02139297435301</v>
      </c>
      <c r="J41" s="44">
        <f>SUMIFS('02_目标分解'!$G$5:$G$16,'02_目标分解'!$A$5:$A$16,A41,'02_目标分解'!$C$5:$C$16,C41)*10000*0.3*'01_主数据假设'!D$21/F41</f>
        <v>130.69162513674499</v>
      </c>
      <c r="K41" s="44">
        <f>SUMIFS('02_目标分解'!$G$5:$G$16,'02_目标分解'!$A$5:$A$16,A41,'02_目标分解'!$C$5:$C$16,C41)*10000*0.3*'01_主数据假设'!E$21/F41</f>
        <v>140.02674121794101</v>
      </c>
      <c r="L41" s="44">
        <f>SUMIFS('02_目标分解'!$G$5:$G$16,'02_目标分解'!$A$5:$A$16,A41,'02_目标分解'!$C$5:$C$16,C41)*10000*0.3*'01_主数据假设'!F$21/F41</f>
        <v>140.02674121794101</v>
      </c>
      <c r="M41" s="44">
        <f>SUMIFS('02_目标分解'!$G$5:$G$16,'02_目标分解'!$A$5:$A$16,A41,'02_目标分解'!$C$5:$C$16,C41)*10000*0.3*'01_主数据假设'!G$21/F41</f>
        <v>149.361857299137</v>
      </c>
      <c r="N41" s="44">
        <f>SUMIFS('02_目标分解'!$G$5:$G$16,'02_目标分解'!$A$5:$A$16,A41,'02_目标分解'!$C$5:$C$16,C41)*10000*0.3*'01_主数据假设'!H$21/F41</f>
        <v>149.361857299137</v>
      </c>
      <c r="O41" s="44">
        <f>SUMIFS('02_目标分解'!$G$5:$G$16,'02_目标分解'!$A$5:$A$16,A41,'02_目标分解'!$C$5:$C$16,C41)*10000*0.3*'01_主数据假设'!I$21/F41</f>
        <v>149.361857299137</v>
      </c>
      <c r="P41" s="44">
        <f>SUMIFS('02_目标分解'!$G$5:$G$16,'02_目标分解'!$A$5:$A$16,A41,'02_目标分解'!$C$5:$C$16,C41)*10000*0.3*'01_主数据假设'!J$21/F41</f>
        <v>158.69697338033299</v>
      </c>
      <c r="Q41" s="44">
        <f>SUMIFS('02_目标分解'!$G$5:$G$16,'02_目标分解'!$A$5:$A$16,A41,'02_目标分解'!$C$5:$C$16,C41)*10000*0.3*'01_主数据假设'!K$21/F41</f>
        <v>168.03208946152901</v>
      </c>
      <c r="R41" s="44">
        <f>SUMIFS('02_目标分解'!$G$5:$G$16,'02_目标分解'!$A$5:$A$16,A41,'02_目标分解'!$C$5:$C$16,C41)*10000*0.3*'01_主数据假设'!L$21/F41</f>
        <v>205.37255378631301</v>
      </c>
      <c r="S41" s="44">
        <f>SUMIFS('02_目标分解'!$G$5:$G$16,'02_目标分解'!$A$5:$A$16,A41,'02_目标分解'!$C$5:$C$16,C41)*10000*0.3*'01_主数据假设'!M$21/F41</f>
        <v>233.377902029902</v>
      </c>
      <c r="T41" s="44">
        <f t="shared" si="0"/>
        <v>1867.0232162392099</v>
      </c>
      <c r="U41" s="54">
        <f t="shared" si="1"/>
        <v>230.4</v>
      </c>
      <c r="V41" s="54">
        <f>SUMIFS('02_目标分解'!$G$5:$G$16,'02_目标分解'!$A$5:$A$16,A41,'02_目标分解'!$C$5:$C$16,C41)*0.3</f>
        <v>230.4</v>
      </c>
      <c r="W41" s="54">
        <f t="shared" si="2"/>
        <v>0</v>
      </c>
    </row>
    <row r="42" spans="1:23" ht="14.5">
      <c r="A42" s="12" t="s">
        <v>125</v>
      </c>
      <c r="B42" s="12" t="s">
        <v>126</v>
      </c>
      <c r="C42" s="12" t="s">
        <v>82</v>
      </c>
      <c r="D42" s="12" t="s">
        <v>83</v>
      </c>
      <c r="E42" s="12" t="s">
        <v>114</v>
      </c>
      <c r="F42" s="44">
        <f>SUMIFS('01_主数据假设'!$K$6:$K$8,'01_主数据假设'!$H$6:$H$8,C42)*SUMIFS('01_主数据假设'!$K$12:$K$15,'01_主数据假设'!$I$12:$I$15,E42)</f>
        <v>1169.0999999999999</v>
      </c>
      <c r="G42" s="44">
        <f>SUMIFS('01_主数据假设'!$O$6:$O$8,'01_主数据假设'!$H$6:$H$8,C42)</f>
        <v>481</v>
      </c>
      <c r="H42" s="44">
        <f>SUMIFS('02_目标分解'!$G$5:$G$16,'02_目标分解'!$A$5:$A$16,A42,'02_目标分解'!$C$5:$C$16,C42)*10000*0.35*'01_主数据假设'!B$21/F42</f>
        <v>160.944316140621</v>
      </c>
      <c r="I42" s="44">
        <f>SUMIFS('02_目标分解'!$G$5:$G$16,'02_目标分解'!$A$5:$A$16,A42,'02_目标分解'!$C$5:$C$16,C42)*10000*0.35*'01_主数据假设'!C$21/F42</f>
        <v>137.952270977675</v>
      </c>
      <c r="J42" s="44">
        <f>SUMIFS('02_目标分解'!$G$5:$G$16,'02_目标分解'!$A$5:$A$16,A42,'02_目标分解'!$C$5:$C$16,C42)*10000*0.35*'01_主数据假设'!D$21/F42</f>
        <v>160.944316140621</v>
      </c>
      <c r="K42" s="44">
        <f>SUMIFS('02_目标分解'!$G$5:$G$16,'02_目标分解'!$A$5:$A$16,A42,'02_目标分解'!$C$5:$C$16,C42)*10000*0.35*'01_主数据假设'!E$21/F42</f>
        <v>172.440338722094</v>
      </c>
      <c r="L42" s="44">
        <f>SUMIFS('02_目标分解'!$G$5:$G$16,'02_目标分解'!$A$5:$A$16,A42,'02_目标分解'!$C$5:$C$16,C42)*10000*0.35*'01_主数据假设'!F$21/F42</f>
        <v>172.440338722094</v>
      </c>
      <c r="M42" s="44">
        <f>SUMIFS('02_目标分解'!$G$5:$G$16,'02_目标分解'!$A$5:$A$16,A42,'02_目标分解'!$C$5:$C$16,C42)*10000*0.35*'01_主数据假设'!G$21/F42</f>
        <v>183.936361303567</v>
      </c>
      <c r="N42" s="44">
        <f>SUMIFS('02_目标分解'!$G$5:$G$16,'02_目标分解'!$A$5:$A$16,A42,'02_目标分解'!$C$5:$C$16,C42)*10000*0.35*'01_主数据假设'!H$21/F42</f>
        <v>183.936361303567</v>
      </c>
      <c r="O42" s="44">
        <f>SUMIFS('02_目标分解'!$G$5:$G$16,'02_目标分解'!$A$5:$A$16,A42,'02_目标分解'!$C$5:$C$16,C42)*10000*0.35*'01_主数据假设'!I$21/F42</f>
        <v>183.936361303567</v>
      </c>
      <c r="P42" s="44">
        <f>SUMIFS('02_目标分解'!$G$5:$G$16,'02_目标分解'!$A$5:$A$16,A42,'02_目标分解'!$C$5:$C$16,C42)*10000*0.35*'01_主数据假设'!J$21/F42</f>
        <v>195.43238388504</v>
      </c>
      <c r="Q42" s="44">
        <f>SUMIFS('02_目标分解'!$G$5:$G$16,'02_目标分解'!$A$5:$A$16,A42,'02_目标分解'!$C$5:$C$16,C42)*10000*0.35*'01_主数据假设'!K$21/F42</f>
        <v>206.928406466513</v>
      </c>
      <c r="R42" s="44">
        <f>SUMIFS('02_目标分解'!$G$5:$G$16,'02_目标分解'!$A$5:$A$16,A42,'02_目标分解'!$C$5:$C$16,C42)*10000*0.35*'01_主数据假设'!L$21/F42</f>
        <v>252.912496792404</v>
      </c>
      <c r="S42" s="44">
        <f>SUMIFS('02_目标分解'!$G$5:$G$16,'02_目标分解'!$A$5:$A$16,A42,'02_目标分解'!$C$5:$C$16,C42)*10000*0.35*'01_主数据假设'!M$21/F42</f>
        <v>287.40056453682303</v>
      </c>
      <c r="T42" s="44">
        <f t="shared" si="0"/>
        <v>2299.2045162945901</v>
      </c>
      <c r="U42" s="54">
        <f t="shared" si="1"/>
        <v>268.8</v>
      </c>
      <c r="V42" s="54">
        <f>SUMIFS('02_目标分解'!$G$5:$G$16,'02_目标分解'!$A$5:$A$16,A42,'02_目标分解'!$C$5:$C$16,C42)*0.35</f>
        <v>268.8</v>
      </c>
      <c r="W42" s="54">
        <f t="shared" si="2"/>
        <v>0</v>
      </c>
    </row>
    <row r="43" spans="1:23" ht="14.5">
      <c r="A43" s="12" t="s">
        <v>125</v>
      </c>
      <c r="B43" s="12" t="s">
        <v>126</v>
      </c>
      <c r="C43" s="12" t="s">
        <v>82</v>
      </c>
      <c r="D43" s="12" t="s">
        <v>83</v>
      </c>
      <c r="E43" s="12" t="s">
        <v>119</v>
      </c>
      <c r="F43" s="44">
        <f>SUMIFS('01_主数据假设'!$K$6:$K$8,'01_主数据假设'!$H$6:$H$8,C43)*SUMIFS('01_主数据假设'!$K$12:$K$15,'01_主数据假设'!$I$12:$I$15,E43)</f>
        <v>1065.18</v>
      </c>
      <c r="G43" s="44">
        <f>SUMIFS('01_主数据假设'!$O$6:$O$8,'01_主数据假设'!$H$6:$H$8,C43)</f>
        <v>481</v>
      </c>
      <c r="H43" s="44">
        <f>SUMIFS('02_目标分解'!$G$5:$G$16,'02_目标分解'!$A$5:$A$16,A43,'02_目标分解'!$C$5:$C$16,C43)*10000*0.2*'01_主数据假设'!B$21/F43</f>
        <v>100.940686081226</v>
      </c>
      <c r="I43" s="44">
        <f>SUMIFS('02_目标分解'!$G$5:$G$16,'02_目标分解'!$A$5:$A$16,A43,'02_目标分解'!$C$5:$C$16,C43)*10000*0.2*'01_主数据假设'!C$21/F43</f>
        <v>86.520588069622093</v>
      </c>
      <c r="J43" s="44">
        <f>SUMIFS('02_目标分解'!$G$5:$G$16,'02_目标分解'!$A$5:$A$16,A43,'02_目标分解'!$C$5:$C$16,C43)*10000*0.2*'01_主数据假设'!D$21/F43</f>
        <v>100.940686081226</v>
      </c>
      <c r="K43" s="44">
        <f>SUMIFS('02_目标分解'!$G$5:$G$16,'02_目标分解'!$A$5:$A$16,A43,'02_目标分解'!$C$5:$C$16,C43)*10000*0.2*'01_主数据假设'!E$21/F43</f>
        <v>108.150735087028</v>
      </c>
      <c r="L43" s="44">
        <f>SUMIFS('02_目标分解'!$G$5:$G$16,'02_目标分解'!$A$5:$A$16,A43,'02_目标分解'!$C$5:$C$16,C43)*10000*0.2*'01_主数据假设'!F$21/F43</f>
        <v>108.150735087028</v>
      </c>
      <c r="M43" s="44">
        <f>SUMIFS('02_目标分解'!$G$5:$G$16,'02_目标分解'!$A$5:$A$16,A43,'02_目标分解'!$C$5:$C$16,C43)*10000*0.2*'01_主数据假设'!G$21/F43</f>
        <v>115.36078409282899</v>
      </c>
      <c r="N43" s="44">
        <f>SUMIFS('02_目标分解'!$G$5:$G$16,'02_目标分解'!$A$5:$A$16,A43,'02_目标分解'!$C$5:$C$16,C43)*10000*0.2*'01_主数据假设'!H$21/F43</f>
        <v>115.36078409282899</v>
      </c>
      <c r="O43" s="44">
        <f>SUMIFS('02_目标分解'!$G$5:$G$16,'02_目标分解'!$A$5:$A$16,A43,'02_目标分解'!$C$5:$C$16,C43)*10000*0.2*'01_主数据假设'!I$21/F43</f>
        <v>115.36078409282899</v>
      </c>
      <c r="P43" s="44">
        <f>SUMIFS('02_目标分解'!$G$5:$G$16,'02_目标分解'!$A$5:$A$16,A43,'02_目标分解'!$C$5:$C$16,C43)*10000*0.2*'01_主数据假设'!J$21/F43</f>
        <v>122.570833098631</v>
      </c>
      <c r="Q43" s="44">
        <f>SUMIFS('02_目标分解'!$G$5:$G$16,'02_目标分解'!$A$5:$A$16,A43,'02_目标分解'!$C$5:$C$16,C43)*10000*0.2*'01_主数据假设'!K$21/F43</f>
        <v>129.780882104433</v>
      </c>
      <c r="R43" s="44">
        <f>SUMIFS('02_目标分解'!$G$5:$G$16,'02_目标分解'!$A$5:$A$16,A43,'02_目标分解'!$C$5:$C$16,C43)*10000*0.2*'01_主数据假设'!L$21/F43</f>
        <v>158.62107812764</v>
      </c>
      <c r="S43" s="44">
        <f>SUMIFS('02_目标分解'!$G$5:$G$16,'02_目标分解'!$A$5:$A$16,A43,'02_目标分解'!$C$5:$C$16,C43)*10000*0.2*'01_主数据假设'!M$21/F43</f>
        <v>180.25122514504599</v>
      </c>
      <c r="T43" s="44">
        <f t="shared" si="0"/>
        <v>1442.00980116037</v>
      </c>
      <c r="U43" s="54">
        <f t="shared" si="1"/>
        <v>153.6</v>
      </c>
      <c r="V43" s="54">
        <f>SUMIFS('02_目标分解'!$G$5:$G$16,'02_目标分解'!$A$5:$A$16,A43,'02_目标分解'!$C$5:$C$16,C43)*0.2</f>
        <v>153.6</v>
      </c>
      <c r="W43" s="54">
        <f t="shared" si="2"/>
        <v>0</v>
      </c>
    </row>
    <row r="44" spans="1:23" ht="14.5">
      <c r="A44" s="12" t="s">
        <v>125</v>
      </c>
      <c r="B44" s="12" t="s">
        <v>126</v>
      </c>
      <c r="C44" s="12" t="s">
        <v>82</v>
      </c>
      <c r="D44" s="12" t="s">
        <v>83</v>
      </c>
      <c r="E44" s="12" t="s">
        <v>124</v>
      </c>
      <c r="F44" s="44">
        <f>SUMIFS('01_主数据假设'!$K$6:$K$8,'01_主数据假设'!$H$6:$H$8,C44)*SUMIFS('01_主数据假设'!$K$12:$K$15,'01_主数据假设'!$I$12:$I$15,E44)</f>
        <v>935.28</v>
      </c>
      <c r="G44" s="44">
        <f>SUMIFS('01_主数据假设'!$O$6:$O$8,'01_主数据假设'!$H$6:$H$8,C44)</f>
        <v>481</v>
      </c>
      <c r="H44" s="44">
        <f>SUMIFS('02_目标分解'!$G$5:$G$16,'02_目标分解'!$A$5:$A$16,A44,'02_目标分解'!$C$5:$C$16,C44)*10000*0.15*'01_主数据假设'!B$21/F44</f>
        <v>86.220169361046999</v>
      </c>
      <c r="I44" s="44">
        <f>SUMIFS('02_目标分解'!$G$5:$G$16,'02_目标分解'!$A$5:$A$16,A44,'02_目标分解'!$C$5:$C$16,C44)*10000*0.15*'01_主数据假设'!C$21/F44</f>
        <v>73.903002309468803</v>
      </c>
      <c r="J44" s="44">
        <f>SUMIFS('02_目标分解'!$G$5:$G$16,'02_目标分解'!$A$5:$A$16,A44,'02_目标分解'!$C$5:$C$16,C44)*10000*0.15*'01_主数据假设'!D$21/F44</f>
        <v>86.220169361046999</v>
      </c>
      <c r="K44" s="44">
        <f>SUMIFS('02_目标分解'!$G$5:$G$16,'02_目标分解'!$A$5:$A$16,A44,'02_目标分解'!$C$5:$C$16,C44)*10000*0.15*'01_主数据假设'!E$21/F44</f>
        <v>92.378752886835997</v>
      </c>
      <c r="L44" s="44">
        <f>SUMIFS('02_目标分解'!$G$5:$G$16,'02_目标分解'!$A$5:$A$16,A44,'02_目标分解'!$C$5:$C$16,C44)*10000*0.15*'01_主数据假设'!F$21/F44</f>
        <v>92.378752886835997</v>
      </c>
      <c r="M44" s="44">
        <f>SUMIFS('02_目标分解'!$G$5:$G$16,'02_目标分解'!$A$5:$A$16,A44,'02_目标分解'!$C$5:$C$16,C44)*10000*0.15*'01_主数据假设'!G$21/F44</f>
        <v>98.537336412625095</v>
      </c>
      <c r="N44" s="44">
        <f>SUMIFS('02_目标分解'!$G$5:$G$16,'02_目标分解'!$A$5:$A$16,A44,'02_目标分解'!$C$5:$C$16,C44)*10000*0.15*'01_主数据假设'!H$21/F44</f>
        <v>98.537336412625095</v>
      </c>
      <c r="O44" s="44">
        <f>SUMIFS('02_目标分解'!$G$5:$G$16,'02_目标分解'!$A$5:$A$16,A44,'02_目标分解'!$C$5:$C$16,C44)*10000*0.15*'01_主数据假设'!I$21/F44</f>
        <v>98.537336412625095</v>
      </c>
      <c r="P44" s="44">
        <f>SUMIFS('02_目标分解'!$G$5:$G$16,'02_目标分解'!$A$5:$A$16,A44,'02_目标分解'!$C$5:$C$16,C44)*10000*0.15*'01_主数据假设'!J$21/F44</f>
        <v>104.69591993841399</v>
      </c>
      <c r="Q44" s="44">
        <f>SUMIFS('02_目标分解'!$G$5:$G$16,'02_目标分解'!$A$5:$A$16,A44,'02_目标分解'!$C$5:$C$16,C44)*10000*0.15*'01_主数据假设'!K$21/F44</f>
        <v>110.85450346420301</v>
      </c>
      <c r="R44" s="44">
        <f>SUMIFS('02_目标分解'!$G$5:$G$16,'02_目标分解'!$A$5:$A$16,A44,'02_目标分解'!$C$5:$C$16,C44)*10000*0.15*'01_主数据假设'!L$21/F44</f>
        <v>135.48883756736001</v>
      </c>
      <c r="S44" s="44">
        <f>SUMIFS('02_目标分解'!$G$5:$G$16,'02_目标分解'!$A$5:$A$16,A44,'02_目标分解'!$C$5:$C$16,C44)*10000*0.15*'01_主数据假设'!M$21/F44</f>
        <v>153.964588144727</v>
      </c>
      <c r="T44" s="44">
        <f t="shared" si="0"/>
        <v>1231.7167051578101</v>
      </c>
      <c r="U44" s="54">
        <f t="shared" si="1"/>
        <v>115.2</v>
      </c>
      <c r="V44" s="54">
        <f>SUMIFS('02_目标分解'!$G$5:$G$16,'02_目标分解'!$A$5:$A$16,A44,'02_目标分解'!$C$5:$C$16,C44)*0.15</f>
        <v>115.2</v>
      </c>
      <c r="W44" s="54">
        <f t="shared" si="2"/>
        <v>0</v>
      </c>
    </row>
    <row r="45" spans="1:23" ht="14.5">
      <c r="A45" s="12" t="s">
        <v>125</v>
      </c>
      <c r="B45" s="12" t="s">
        <v>126</v>
      </c>
      <c r="C45" s="12" t="s">
        <v>88</v>
      </c>
      <c r="D45" s="12" t="s">
        <v>89</v>
      </c>
      <c r="E45" s="12" t="s">
        <v>109</v>
      </c>
      <c r="F45" s="44">
        <f>SUMIFS('01_主数据假设'!$K$6:$K$8,'01_主数据假设'!$H$6:$H$8,C45)*SUMIFS('01_主数据假设'!$K$12:$K$15,'01_主数据假设'!$I$12:$I$15,E45)</f>
        <v>854.05</v>
      </c>
      <c r="G45" s="44">
        <f>SUMIFS('01_主数据假设'!$O$6:$O$8,'01_主数据假设'!$H$6:$H$8,C45)</f>
        <v>512</v>
      </c>
      <c r="H45" s="44">
        <f>SUMIFS('02_目标分解'!$G$5:$G$16,'02_目标分解'!$A$5:$A$16,A45,'02_目标分解'!$C$5:$C$16,C45)*10000*0.3*'01_主数据假设'!B$21/F45</f>
        <v>165.236227387155</v>
      </c>
      <c r="I45" s="44">
        <f>SUMIFS('02_目标分解'!$G$5:$G$16,'02_目标分解'!$A$5:$A$16,A45,'02_目标分解'!$C$5:$C$16,C45)*10000*0.3*'01_主数据假设'!C$21/F45</f>
        <v>141.63105204613299</v>
      </c>
      <c r="J45" s="44">
        <f>SUMIFS('02_目标分解'!$G$5:$G$16,'02_目标分解'!$A$5:$A$16,A45,'02_目标分解'!$C$5:$C$16,C45)*10000*0.3*'01_主数据假设'!D$21/F45</f>
        <v>165.236227387155</v>
      </c>
      <c r="K45" s="44">
        <f>SUMIFS('02_目标分解'!$G$5:$G$16,'02_目标分解'!$A$5:$A$16,A45,'02_目标分解'!$C$5:$C$16,C45)*10000*0.3*'01_主数据假设'!E$21/F45</f>
        <v>177.038815057666</v>
      </c>
      <c r="L45" s="44">
        <f>SUMIFS('02_目标分解'!$G$5:$G$16,'02_目标分解'!$A$5:$A$16,A45,'02_目标分解'!$C$5:$C$16,C45)*10000*0.3*'01_主数据假设'!F$21/F45</f>
        <v>177.038815057666</v>
      </c>
      <c r="M45" s="44">
        <f>SUMIFS('02_目标分解'!$G$5:$G$16,'02_目标分解'!$A$5:$A$16,A45,'02_目标分解'!$C$5:$C$16,C45)*10000*0.3*'01_主数据假设'!G$21/F45</f>
        <v>188.841402728178</v>
      </c>
      <c r="N45" s="44">
        <f>SUMIFS('02_目标分解'!$G$5:$G$16,'02_目标分解'!$A$5:$A$16,A45,'02_目标分解'!$C$5:$C$16,C45)*10000*0.3*'01_主数据假设'!H$21/F45</f>
        <v>188.841402728178</v>
      </c>
      <c r="O45" s="44">
        <f>SUMIFS('02_目标分解'!$G$5:$G$16,'02_目标分解'!$A$5:$A$16,A45,'02_目标分解'!$C$5:$C$16,C45)*10000*0.3*'01_主数据假设'!I$21/F45</f>
        <v>188.841402728178</v>
      </c>
      <c r="P45" s="44">
        <f>SUMIFS('02_目标分解'!$G$5:$G$16,'02_目标分解'!$A$5:$A$16,A45,'02_目标分解'!$C$5:$C$16,C45)*10000*0.3*'01_主数据假设'!J$21/F45</f>
        <v>200.643990398689</v>
      </c>
      <c r="Q45" s="44">
        <f>SUMIFS('02_目标分解'!$G$5:$G$16,'02_目标分解'!$A$5:$A$16,A45,'02_目标分解'!$C$5:$C$16,C45)*10000*0.3*'01_主数据假设'!K$21/F45</f>
        <v>212.4465780692</v>
      </c>
      <c r="R45" s="44">
        <f>SUMIFS('02_目标分解'!$G$5:$G$16,'02_目标分解'!$A$5:$A$16,A45,'02_目标分解'!$C$5:$C$16,C45)*10000*0.3*'01_主数据假设'!L$21/F45</f>
        <v>259.65692875124398</v>
      </c>
      <c r="S45" s="44">
        <f>SUMIFS('02_目标分解'!$G$5:$G$16,'02_目标分解'!$A$5:$A$16,A45,'02_目标分解'!$C$5:$C$16,C45)*10000*0.3*'01_主数据假设'!M$21/F45</f>
        <v>295.06469176277699</v>
      </c>
      <c r="T45" s="44">
        <f t="shared" si="0"/>
        <v>2360.51753410222</v>
      </c>
      <c r="U45" s="54">
        <f t="shared" si="1"/>
        <v>201.6</v>
      </c>
      <c r="V45" s="54">
        <f>SUMIFS('02_目标分解'!$G$5:$G$16,'02_目标分解'!$A$5:$A$16,A45,'02_目标分解'!$C$5:$C$16,C45)*0.3</f>
        <v>201.6</v>
      </c>
      <c r="W45" s="54">
        <f t="shared" si="2"/>
        <v>0</v>
      </c>
    </row>
    <row r="46" spans="1:23" ht="14.5">
      <c r="A46" s="12" t="s">
        <v>125</v>
      </c>
      <c r="B46" s="12" t="s">
        <v>126</v>
      </c>
      <c r="C46" s="12" t="s">
        <v>88</v>
      </c>
      <c r="D46" s="12" t="s">
        <v>89</v>
      </c>
      <c r="E46" s="12" t="s">
        <v>114</v>
      </c>
      <c r="F46" s="44">
        <f>SUMIFS('01_主数据假设'!$K$6:$K$8,'01_主数据假设'!$H$6:$H$8,C46)*SUMIFS('01_主数据假设'!$K$12:$K$15,'01_主数据假设'!$I$12:$I$15,E46)</f>
        <v>809.1</v>
      </c>
      <c r="G46" s="44">
        <f>SUMIFS('01_主数据假设'!$O$6:$O$8,'01_主数据假设'!$H$6:$H$8,C46)</f>
        <v>512</v>
      </c>
      <c r="H46" s="44">
        <f>SUMIFS('02_目标分解'!$G$5:$G$16,'02_目标分解'!$A$5:$A$16,A46,'02_目标分解'!$C$5:$C$16,C46)*10000*0.35*'01_主数据假设'!B$21/F46</f>
        <v>203.48535409714501</v>
      </c>
      <c r="I46" s="44">
        <f>SUMIFS('02_目标分解'!$G$5:$G$16,'02_目标分解'!$A$5:$A$16,A46,'02_目标分解'!$C$5:$C$16,C46)*10000*0.35*'01_主数据假设'!C$21/F46</f>
        <v>174.416017797553</v>
      </c>
      <c r="J46" s="44">
        <f>SUMIFS('02_目标分解'!$G$5:$G$16,'02_目标分解'!$A$5:$A$16,A46,'02_目标分解'!$C$5:$C$16,C46)*10000*0.35*'01_主数据假设'!D$21/F46</f>
        <v>203.48535409714501</v>
      </c>
      <c r="K46" s="44">
        <f>SUMIFS('02_目标分解'!$G$5:$G$16,'02_目标分解'!$A$5:$A$16,A46,'02_目标分解'!$C$5:$C$16,C46)*10000*0.35*'01_主数据假设'!E$21/F46</f>
        <v>218.02002224694101</v>
      </c>
      <c r="L46" s="44">
        <f>SUMIFS('02_目标分解'!$G$5:$G$16,'02_目标分解'!$A$5:$A$16,A46,'02_目标分解'!$C$5:$C$16,C46)*10000*0.35*'01_主数据假设'!F$21/F46</f>
        <v>218.02002224694101</v>
      </c>
      <c r="M46" s="44">
        <f>SUMIFS('02_目标分解'!$G$5:$G$16,'02_目标分解'!$A$5:$A$16,A46,'02_目标分解'!$C$5:$C$16,C46)*10000*0.35*'01_主数据假设'!G$21/F46</f>
        <v>232.55469039673699</v>
      </c>
      <c r="N46" s="44">
        <f>SUMIFS('02_目标分解'!$G$5:$G$16,'02_目标分解'!$A$5:$A$16,A46,'02_目标分解'!$C$5:$C$16,C46)*10000*0.35*'01_主数据假设'!H$21/F46</f>
        <v>232.55469039673699</v>
      </c>
      <c r="O46" s="44">
        <f>SUMIFS('02_目标分解'!$G$5:$G$16,'02_目标分解'!$A$5:$A$16,A46,'02_目标分解'!$C$5:$C$16,C46)*10000*0.35*'01_主数据假设'!I$21/F46</f>
        <v>232.55469039673699</v>
      </c>
      <c r="P46" s="44">
        <f>SUMIFS('02_目标分解'!$G$5:$G$16,'02_目标分解'!$A$5:$A$16,A46,'02_目标分解'!$C$5:$C$16,C46)*10000*0.35*'01_主数据假设'!J$21/F46</f>
        <v>247.08935854653299</v>
      </c>
      <c r="Q46" s="44">
        <f>SUMIFS('02_目标分解'!$G$5:$G$16,'02_目标分解'!$A$5:$A$16,A46,'02_目标分解'!$C$5:$C$16,C46)*10000*0.35*'01_主数据假设'!K$21/F46</f>
        <v>261.624026696329</v>
      </c>
      <c r="R46" s="44">
        <f>SUMIFS('02_目标分解'!$G$5:$G$16,'02_目标分解'!$A$5:$A$16,A46,'02_目标分解'!$C$5:$C$16,C46)*10000*0.35*'01_主数据假设'!L$21/F46</f>
        <v>319.76269929551398</v>
      </c>
      <c r="S46" s="44">
        <f>SUMIFS('02_目标分解'!$G$5:$G$16,'02_目标分解'!$A$5:$A$16,A46,'02_目标分解'!$C$5:$C$16,C46)*10000*0.35*'01_主数据假设'!M$21/F46</f>
        <v>363.366703744902</v>
      </c>
      <c r="T46" s="44">
        <f t="shared" si="0"/>
        <v>2906.9336299592101</v>
      </c>
      <c r="U46" s="54">
        <f t="shared" si="1"/>
        <v>235.2</v>
      </c>
      <c r="V46" s="54">
        <f>SUMIFS('02_目标分解'!$G$5:$G$16,'02_目标分解'!$A$5:$A$16,A46,'02_目标分解'!$C$5:$C$16,C46)*0.35</f>
        <v>235.2</v>
      </c>
      <c r="W46" s="54">
        <f t="shared" si="2"/>
        <v>0</v>
      </c>
    </row>
    <row r="47" spans="1:23" ht="14.5">
      <c r="A47" s="12" t="s">
        <v>125</v>
      </c>
      <c r="B47" s="12" t="s">
        <v>126</v>
      </c>
      <c r="C47" s="12" t="s">
        <v>88</v>
      </c>
      <c r="D47" s="12" t="s">
        <v>89</v>
      </c>
      <c r="E47" s="12" t="s">
        <v>119</v>
      </c>
      <c r="F47" s="44">
        <f>SUMIFS('01_主数据假设'!$K$6:$K$8,'01_主数据假设'!$H$6:$H$8,C47)*SUMIFS('01_主数据假设'!$K$12:$K$15,'01_主数据假设'!$I$12:$I$15,E47)</f>
        <v>737.18</v>
      </c>
      <c r="G47" s="44">
        <f>SUMIFS('01_主数据假设'!$O$6:$O$8,'01_主数据假设'!$H$6:$H$8,C47)</f>
        <v>512</v>
      </c>
      <c r="H47" s="44">
        <f>SUMIFS('02_目标分解'!$G$5:$G$16,'02_目标分解'!$A$5:$A$16,A47,'02_目标分解'!$C$5:$C$16,C47)*10000*0.2*'01_主数据假设'!B$21/F47</f>
        <v>127.62147643723399</v>
      </c>
      <c r="I47" s="44">
        <f>SUMIFS('02_目标分解'!$G$5:$G$16,'02_目标分解'!$A$5:$A$16,A47,'02_目标分解'!$C$5:$C$16,C47)*10000*0.2*'01_主数据假设'!C$21/F47</f>
        <v>109.38983694620001</v>
      </c>
      <c r="J47" s="44">
        <f>SUMIFS('02_目标分解'!$G$5:$G$16,'02_目标分解'!$A$5:$A$16,A47,'02_目标分解'!$C$5:$C$16,C47)*10000*0.2*'01_主数据假设'!D$21/F47</f>
        <v>127.62147643723399</v>
      </c>
      <c r="K47" s="44">
        <f>SUMIFS('02_目标分解'!$G$5:$G$16,'02_目标分解'!$A$5:$A$16,A47,'02_目标分解'!$C$5:$C$16,C47)*10000*0.2*'01_主数据假设'!E$21/F47</f>
        <v>136.73729618274999</v>
      </c>
      <c r="L47" s="44">
        <f>SUMIFS('02_目标分解'!$G$5:$G$16,'02_目标分解'!$A$5:$A$16,A47,'02_目标分解'!$C$5:$C$16,C47)*10000*0.2*'01_主数据假设'!F$21/F47</f>
        <v>136.73729618274999</v>
      </c>
      <c r="M47" s="44">
        <f>SUMIFS('02_目标分解'!$G$5:$G$16,'02_目标分解'!$A$5:$A$16,A47,'02_目标分解'!$C$5:$C$16,C47)*10000*0.2*'01_主数据假设'!G$21/F47</f>
        <v>145.85311592826699</v>
      </c>
      <c r="N47" s="44">
        <f>SUMIFS('02_目标分解'!$G$5:$G$16,'02_目标分解'!$A$5:$A$16,A47,'02_目标分解'!$C$5:$C$16,C47)*10000*0.2*'01_主数据假设'!H$21/F47</f>
        <v>145.85311592826699</v>
      </c>
      <c r="O47" s="44">
        <f>SUMIFS('02_目标分解'!$G$5:$G$16,'02_目标分解'!$A$5:$A$16,A47,'02_目标分解'!$C$5:$C$16,C47)*10000*0.2*'01_主数据假设'!I$21/F47</f>
        <v>145.85311592826699</v>
      </c>
      <c r="P47" s="44">
        <f>SUMIFS('02_目标分解'!$G$5:$G$16,'02_目标分解'!$A$5:$A$16,A47,'02_目标分解'!$C$5:$C$16,C47)*10000*0.2*'01_主数据假设'!J$21/F47</f>
        <v>154.96893567378399</v>
      </c>
      <c r="Q47" s="44">
        <f>SUMIFS('02_目标分解'!$G$5:$G$16,'02_目标分解'!$A$5:$A$16,A47,'02_目标分解'!$C$5:$C$16,C47)*10000*0.2*'01_主数据假设'!K$21/F47</f>
        <v>164.08475541930099</v>
      </c>
      <c r="R47" s="44">
        <f>SUMIFS('02_目标分解'!$G$5:$G$16,'02_目标分解'!$A$5:$A$16,A47,'02_目标分解'!$C$5:$C$16,C47)*10000*0.2*'01_主数据假设'!L$21/F47</f>
        <v>200.548034401367</v>
      </c>
      <c r="S47" s="44">
        <f>SUMIFS('02_目标分解'!$G$5:$G$16,'02_目标分解'!$A$5:$A$16,A47,'02_目标分解'!$C$5:$C$16,C47)*10000*0.2*'01_主数据假设'!M$21/F47</f>
        <v>227.89549363791701</v>
      </c>
      <c r="T47" s="44">
        <f t="shared" si="0"/>
        <v>1823.16394910334</v>
      </c>
      <c r="U47" s="54">
        <f t="shared" si="1"/>
        <v>134.4</v>
      </c>
      <c r="V47" s="54">
        <f>SUMIFS('02_目标分解'!$G$5:$G$16,'02_目标分解'!$A$5:$A$16,A47,'02_目标分解'!$C$5:$C$16,C47)*0.2</f>
        <v>134.4</v>
      </c>
      <c r="W47" s="54">
        <f t="shared" si="2"/>
        <v>0</v>
      </c>
    </row>
    <row r="48" spans="1:23" ht="14.5">
      <c r="A48" s="12" t="s">
        <v>125</v>
      </c>
      <c r="B48" s="12" t="s">
        <v>126</v>
      </c>
      <c r="C48" s="12" t="s">
        <v>88</v>
      </c>
      <c r="D48" s="12" t="s">
        <v>89</v>
      </c>
      <c r="E48" s="12" t="s">
        <v>124</v>
      </c>
      <c r="F48" s="44">
        <f>SUMIFS('01_主数据假设'!$K$6:$K$8,'01_主数据假设'!$H$6:$H$8,C48)*SUMIFS('01_主数据假设'!$K$12:$K$15,'01_主数据假设'!$I$12:$I$15,E48)</f>
        <v>647.28</v>
      </c>
      <c r="G48" s="44">
        <f>SUMIFS('01_主数据假设'!$O$6:$O$8,'01_主数据假设'!$H$6:$H$8,C48)</f>
        <v>512</v>
      </c>
      <c r="H48" s="44">
        <f>SUMIFS('02_目标分解'!$G$5:$G$16,'02_目标分解'!$A$5:$A$16,A48,'02_目标分解'!$C$5:$C$16,C48)*10000*0.15*'01_主数据假设'!B$21/F48</f>
        <v>109.010011123471</v>
      </c>
      <c r="I48" s="44">
        <f>SUMIFS('02_目标分解'!$G$5:$G$16,'02_目标分解'!$A$5:$A$16,A48,'02_目标分解'!$C$5:$C$16,C48)*10000*0.15*'01_主数据假设'!C$21/F48</f>
        <v>93.437152391546206</v>
      </c>
      <c r="J48" s="44">
        <f>SUMIFS('02_目标分解'!$G$5:$G$16,'02_目标分解'!$A$5:$A$16,A48,'02_目标分解'!$C$5:$C$16,C48)*10000*0.15*'01_主数据假设'!D$21/F48</f>
        <v>109.010011123471</v>
      </c>
      <c r="K48" s="44">
        <f>SUMIFS('02_目标分解'!$G$5:$G$16,'02_目标分解'!$A$5:$A$16,A48,'02_目标分解'!$C$5:$C$16,C48)*10000*0.15*'01_主数据假设'!E$21/F48</f>
        <v>116.796440489433</v>
      </c>
      <c r="L48" s="44">
        <f>SUMIFS('02_目标分解'!$G$5:$G$16,'02_目标分解'!$A$5:$A$16,A48,'02_目标分解'!$C$5:$C$16,C48)*10000*0.15*'01_主数据假设'!F$21/F48</f>
        <v>116.796440489433</v>
      </c>
      <c r="M48" s="44">
        <f>SUMIFS('02_目标分解'!$G$5:$G$16,'02_目标分解'!$A$5:$A$16,A48,'02_目标分解'!$C$5:$C$16,C48)*10000*0.15*'01_主数据假设'!G$21/F48</f>
        <v>124.582869855395</v>
      </c>
      <c r="N48" s="44">
        <f>SUMIFS('02_目标分解'!$G$5:$G$16,'02_目标分解'!$A$5:$A$16,A48,'02_目标分解'!$C$5:$C$16,C48)*10000*0.15*'01_主数据假设'!H$21/F48</f>
        <v>124.582869855395</v>
      </c>
      <c r="O48" s="44">
        <f>SUMIFS('02_目标分解'!$G$5:$G$16,'02_目标分解'!$A$5:$A$16,A48,'02_目标分解'!$C$5:$C$16,C48)*10000*0.15*'01_主数据假设'!I$21/F48</f>
        <v>124.582869855395</v>
      </c>
      <c r="P48" s="44">
        <f>SUMIFS('02_目标分解'!$G$5:$G$16,'02_目标分解'!$A$5:$A$16,A48,'02_目标分解'!$C$5:$C$16,C48)*10000*0.15*'01_主数据假设'!J$21/F48</f>
        <v>132.36929922135701</v>
      </c>
      <c r="Q48" s="44">
        <f>SUMIFS('02_目标分解'!$G$5:$G$16,'02_目标分解'!$A$5:$A$16,A48,'02_目标分解'!$C$5:$C$16,C48)*10000*0.15*'01_主数据假设'!K$21/F48</f>
        <v>140.155728587319</v>
      </c>
      <c r="R48" s="44">
        <f>SUMIFS('02_目标分解'!$G$5:$G$16,'02_目标分解'!$A$5:$A$16,A48,'02_目标分解'!$C$5:$C$16,C48)*10000*0.15*'01_主数据假设'!L$21/F48</f>
        <v>171.301446051168</v>
      </c>
      <c r="S48" s="44">
        <f>SUMIFS('02_目标分解'!$G$5:$G$16,'02_目标分解'!$A$5:$A$16,A48,'02_目标分解'!$C$5:$C$16,C48)*10000*0.15*'01_主数据假设'!M$21/F48</f>
        <v>194.660734149055</v>
      </c>
      <c r="T48" s="44">
        <f t="shared" si="0"/>
        <v>1557.28587319244</v>
      </c>
      <c r="U48" s="54">
        <f t="shared" si="1"/>
        <v>100.8</v>
      </c>
      <c r="V48" s="54">
        <f>SUMIFS('02_目标分解'!$G$5:$G$16,'02_目标分解'!$A$5:$A$16,A48,'02_目标分解'!$C$5:$C$16,C48)*0.15</f>
        <v>100.8</v>
      </c>
      <c r="W48" s="54">
        <f t="shared" si="2"/>
        <v>0</v>
      </c>
    </row>
    <row r="49" spans="1:23" ht="14.5">
      <c r="A49" s="12" t="s">
        <v>125</v>
      </c>
      <c r="B49" s="12" t="s">
        <v>126</v>
      </c>
      <c r="C49" s="12" t="s">
        <v>93</v>
      </c>
      <c r="D49" s="12" t="s">
        <v>94</v>
      </c>
      <c r="E49" s="12" t="s">
        <v>109</v>
      </c>
      <c r="F49" s="44">
        <f>SUMIFS('01_主数据假设'!$K$6:$K$8,'01_主数据假设'!$H$6:$H$8,C49)*SUMIFS('01_主数据假设'!$K$12:$K$15,'01_主数据假设'!$I$12:$I$15,E49)</f>
        <v>1614.05</v>
      </c>
      <c r="G49" s="44">
        <f>SUMIFS('01_主数据假设'!$O$6:$O$8,'01_主数据假设'!$H$6:$H$8,C49)</f>
        <v>507</v>
      </c>
      <c r="H49" s="44">
        <f>SUMIFS('02_目标分解'!$G$5:$G$16,'02_目标分解'!$A$5:$A$16,A49,'02_目标分解'!$C$5:$C$16,C49)*10000*0.3*'01_主数据假设'!B$21/F49</f>
        <v>62.451596914593701</v>
      </c>
      <c r="I49" s="44">
        <f>SUMIFS('02_目标分解'!$G$5:$G$16,'02_目标分解'!$A$5:$A$16,A49,'02_目标分解'!$C$5:$C$16,C49)*10000*0.3*'01_主数据假设'!C$21/F49</f>
        <v>53.529940212508897</v>
      </c>
      <c r="J49" s="44">
        <f>SUMIFS('02_目标分解'!$G$5:$G$16,'02_目标分解'!$A$5:$A$16,A49,'02_目标分解'!$C$5:$C$16,C49)*10000*0.3*'01_主数据假设'!D$21/F49</f>
        <v>62.451596914593701</v>
      </c>
      <c r="K49" s="44">
        <f>SUMIFS('02_目标分解'!$G$5:$G$16,'02_目标分解'!$A$5:$A$16,A49,'02_目标分解'!$C$5:$C$16,C49)*10000*0.3*'01_主数据假设'!E$21/F49</f>
        <v>66.912425265636102</v>
      </c>
      <c r="L49" s="44">
        <f>SUMIFS('02_目标分解'!$G$5:$G$16,'02_目标分解'!$A$5:$A$16,A49,'02_目标分解'!$C$5:$C$16,C49)*10000*0.3*'01_主数据假设'!F$21/F49</f>
        <v>66.912425265636102</v>
      </c>
      <c r="M49" s="44">
        <f>SUMIFS('02_目标分解'!$G$5:$G$16,'02_目标分解'!$A$5:$A$16,A49,'02_目标分解'!$C$5:$C$16,C49)*10000*0.3*'01_主数据假设'!G$21/F49</f>
        <v>71.373253616678497</v>
      </c>
      <c r="N49" s="44">
        <f>SUMIFS('02_目标分解'!$G$5:$G$16,'02_目标分解'!$A$5:$A$16,A49,'02_目标分解'!$C$5:$C$16,C49)*10000*0.3*'01_主数据假设'!H$21/F49</f>
        <v>71.373253616678497</v>
      </c>
      <c r="O49" s="44">
        <f>SUMIFS('02_目标分解'!$G$5:$G$16,'02_目标分解'!$A$5:$A$16,A49,'02_目标分解'!$C$5:$C$16,C49)*10000*0.3*'01_主数据假设'!I$21/F49</f>
        <v>71.373253616678497</v>
      </c>
      <c r="P49" s="44">
        <f>SUMIFS('02_目标分解'!$G$5:$G$16,'02_目标分解'!$A$5:$A$16,A49,'02_目标分解'!$C$5:$C$16,C49)*10000*0.3*'01_主数据假设'!J$21/F49</f>
        <v>75.834081967721005</v>
      </c>
      <c r="Q49" s="44">
        <f>SUMIFS('02_目标分解'!$G$5:$G$16,'02_目标分解'!$A$5:$A$16,A49,'02_目标分解'!$C$5:$C$16,C49)*10000*0.3*'01_主数据假设'!K$21/F49</f>
        <v>80.294910318763399</v>
      </c>
      <c r="R49" s="44">
        <f>SUMIFS('02_目标分解'!$G$5:$G$16,'02_目标分解'!$A$5:$A$16,A49,'02_目标分解'!$C$5:$C$16,C49)*10000*0.3*'01_主数据假设'!L$21/F49</f>
        <v>98.138223722933006</v>
      </c>
      <c r="S49" s="44">
        <f>SUMIFS('02_目标分解'!$G$5:$G$16,'02_目标分解'!$A$5:$A$16,A49,'02_目标分解'!$C$5:$C$16,C49)*10000*0.3*'01_主数据假设'!M$21/F49</f>
        <v>111.52070877606</v>
      </c>
      <c r="T49" s="44">
        <f t="shared" si="0"/>
        <v>892.16567020848197</v>
      </c>
      <c r="U49" s="54">
        <f t="shared" si="1"/>
        <v>144</v>
      </c>
      <c r="V49" s="54">
        <f>SUMIFS('02_目标分解'!$G$5:$G$16,'02_目标分解'!$A$5:$A$16,A49,'02_目标分解'!$C$5:$C$16,C49)*0.3</f>
        <v>144</v>
      </c>
      <c r="W49" s="54">
        <f t="shared" si="2"/>
        <v>0</v>
      </c>
    </row>
    <row r="50" spans="1:23" ht="14.5">
      <c r="A50" s="12" t="s">
        <v>125</v>
      </c>
      <c r="B50" s="12" t="s">
        <v>126</v>
      </c>
      <c r="C50" s="12" t="s">
        <v>93</v>
      </c>
      <c r="D50" s="12" t="s">
        <v>94</v>
      </c>
      <c r="E50" s="12" t="s">
        <v>114</v>
      </c>
      <c r="F50" s="44">
        <f>SUMIFS('01_主数据假设'!$K$6:$K$8,'01_主数据假设'!$H$6:$H$8,C50)*SUMIFS('01_主数据假设'!$K$12:$K$15,'01_主数据假设'!$I$12:$I$15,E50)</f>
        <v>1529.1</v>
      </c>
      <c r="G50" s="44">
        <f>SUMIFS('01_主数据假设'!$O$6:$O$8,'01_主数据假设'!$H$6:$H$8,C50)</f>
        <v>507</v>
      </c>
      <c r="H50" s="44">
        <f>SUMIFS('02_目标分解'!$G$5:$G$16,'02_目标分解'!$A$5:$A$16,A50,'02_目标分解'!$C$5:$C$16,C50)*10000*0.35*'01_主数据假设'!B$21/F50</f>
        <v>76.907985089268195</v>
      </c>
      <c r="I50" s="44">
        <f>SUMIFS('02_目标分解'!$G$5:$G$16,'02_目标分解'!$A$5:$A$16,A50,'02_目标分解'!$C$5:$C$16,C50)*10000*0.35*'01_主数据假设'!C$21/F50</f>
        <v>65.921130076515595</v>
      </c>
      <c r="J50" s="44">
        <f>SUMIFS('02_目标分解'!$G$5:$G$16,'02_目标分解'!$A$5:$A$16,A50,'02_目标分解'!$C$5:$C$16,C50)*10000*0.35*'01_主数据假设'!D$21/F50</f>
        <v>76.907985089268195</v>
      </c>
      <c r="K50" s="44">
        <f>SUMIFS('02_目标分解'!$G$5:$G$16,'02_目标分解'!$A$5:$A$16,A50,'02_目标分解'!$C$5:$C$16,C50)*10000*0.35*'01_主数据假设'!E$21/F50</f>
        <v>82.401412595644501</v>
      </c>
      <c r="L50" s="44">
        <f>SUMIFS('02_目标分解'!$G$5:$G$16,'02_目标分解'!$A$5:$A$16,A50,'02_目标分解'!$C$5:$C$16,C50)*10000*0.35*'01_主数据假设'!F$21/F50</f>
        <v>82.401412595644501</v>
      </c>
      <c r="M50" s="44">
        <f>SUMIFS('02_目标分解'!$G$5:$G$16,'02_目标分解'!$A$5:$A$16,A50,'02_目标分解'!$C$5:$C$16,C50)*10000*0.35*'01_主数据假设'!G$21/F50</f>
        <v>87.894840102020794</v>
      </c>
      <c r="N50" s="44">
        <f>SUMIFS('02_目标分解'!$G$5:$G$16,'02_目标分解'!$A$5:$A$16,A50,'02_目标分解'!$C$5:$C$16,C50)*10000*0.35*'01_主数据假设'!H$21/F50</f>
        <v>87.894840102020794</v>
      </c>
      <c r="O50" s="44">
        <f>SUMIFS('02_目标分解'!$G$5:$G$16,'02_目标分解'!$A$5:$A$16,A50,'02_目标分解'!$C$5:$C$16,C50)*10000*0.35*'01_主数据假设'!I$21/F50</f>
        <v>87.894840102020794</v>
      </c>
      <c r="P50" s="44">
        <f>SUMIFS('02_目标分解'!$G$5:$G$16,'02_目标分解'!$A$5:$A$16,A50,'02_目标分解'!$C$5:$C$16,C50)*10000*0.35*'01_主数据假设'!J$21/F50</f>
        <v>93.388267608397101</v>
      </c>
      <c r="Q50" s="44">
        <f>SUMIFS('02_目标分解'!$G$5:$G$16,'02_目标分解'!$A$5:$A$16,A50,'02_目标分解'!$C$5:$C$16,C50)*10000*0.35*'01_主数据假设'!K$21/F50</f>
        <v>98.881695114773393</v>
      </c>
      <c r="R50" s="44">
        <f>SUMIFS('02_目标分解'!$G$5:$G$16,'02_目标分解'!$A$5:$A$16,A50,'02_目标分解'!$C$5:$C$16,C50)*10000*0.35*'01_主数据假设'!L$21/F50</f>
        <v>120.855405140279</v>
      </c>
      <c r="S50" s="44">
        <f>SUMIFS('02_目标分解'!$G$5:$G$16,'02_目标分解'!$A$5:$A$16,A50,'02_目标分解'!$C$5:$C$16,C50)*10000*0.35*'01_主数据假设'!M$21/F50</f>
        <v>137.335687659407</v>
      </c>
      <c r="T50" s="44">
        <f t="shared" si="0"/>
        <v>1098.6855012752601</v>
      </c>
      <c r="U50" s="54">
        <f t="shared" si="1"/>
        <v>168</v>
      </c>
      <c r="V50" s="54">
        <f>SUMIFS('02_目标分解'!$G$5:$G$16,'02_目标分解'!$A$5:$A$16,A50,'02_目标分解'!$C$5:$C$16,C50)*0.35</f>
        <v>168</v>
      </c>
      <c r="W50" s="54">
        <f t="shared" si="2"/>
        <v>0</v>
      </c>
    </row>
    <row r="51" spans="1:23" ht="14.5">
      <c r="A51" s="12" t="s">
        <v>125</v>
      </c>
      <c r="B51" s="12" t="s">
        <v>126</v>
      </c>
      <c r="C51" s="12" t="s">
        <v>93</v>
      </c>
      <c r="D51" s="12" t="s">
        <v>94</v>
      </c>
      <c r="E51" s="12" t="s">
        <v>119</v>
      </c>
      <c r="F51" s="44">
        <f>SUMIFS('01_主数据假设'!$K$6:$K$8,'01_主数据假设'!$H$6:$H$8,C51)*SUMIFS('01_主数据假设'!$K$12:$K$15,'01_主数据假设'!$I$12:$I$15,E51)</f>
        <v>1393.18</v>
      </c>
      <c r="G51" s="44">
        <f>SUMIFS('01_主数据假设'!$O$6:$O$8,'01_主数据假设'!$H$6:$H$8,C51)</f>
        <v>507</v>
      </c>
      <c r="H51" s="44">
        <f>SUMIFS('02_目标分解'!$G$5:$G$16,'02_目标分解'!$A$5:$A$16,A51,'02_目标分解'!$C$5:$C$16,C51)*10000*0.2*'01_主数据假设'!B$21/F51</f>
        <v>48.234973226718701</v>
      </c>
      <c r="I51" s="44">
        <f>SUMIFS('02_目标分解'!$G$5:$G$16,'02_目标分解'!$A$5:$A$16,A51,'02_目标分解'!$C$5:$C$16,C51)*10000*0.2*'01_主数据假设'!C$21/F51</f>
        <v>41.344262765758899</v>
      </c>
      <c r="J51" s="44">
        <f>SUMIFS('02_目标分解'!$G$5:$G$16,'02_目标分解'!$A$5:$A$16,A51,'02_目标分解'!$C$5:$C$16,C51)*10000*0.2*'01_主数据假设'!D$21/F51</f>
        <v>48.234973226718701</v>
      </c>
      <c r="K51" s="44">
        <f>SUMIFS('02_目标分解'!$G$5:$G$16,'02_目标分解'!$A$5:$A$16,A51,'02_目标分解'!$C$5:$C$16,C51)*10000*0.2*'01_主数据假设'!E$21/F51</f>
        <v>51.680328457198598</v>
      </c>
      <c r="L51" s="44">
        <f>SUMIFS('02_目标分解'!$G$5:$G$16,'02_目标分解'!$A$5:$A$16,A51,'02_目标分解'!$C$5:$C$16,C51)*10000*0.2*'01_主数据假设'!F$21/F51</f>
        <v>51.680328457198598</v>
      </c>
      <c r="M51" s="44">
        <f>SUMIFS('02_目标分解'!$G$5:$G$16,'02_目标分解'!$A$5:$A$16,A51,'02_目标分解'!$C$5:$C$16,C51)*10000*0.2*'01_主数据假设'!G$21/F51</f>
        <v>55.125683687678602</v>
      </c>
      <c r="N51" s="44">
        <f>SUMIFS('02_目标分解'!$G$5:$G$16,'02_目标分解'!$A$5:$A$16,A51,'02_目标分解'!$C$5:$C$16,C51)*10000*0.2*'01_主数据假设'!H$21/F51</f>
        <v>55.125683687678602</v>
      </c>
      <c r="O51" s="44">
        <f>SUMIFS('02_目标分解'!$G$5:$G$16,'02_目标分解'!$A$5:$A$16,A51,'02_目标分解'!$C$5:$C$16,C51)*10000*0.2*'01_主数据假设'!I$21/F51</f>
        <v>55.125683687678602</v>
      </c>
      <c r="P51" s="44">
        <f>SUMIFS('02_目标分解'!$G$5:$G$16,'02_目标分解'!$A$5:$A$16,A51,'02_目标分解'!$C$5:$C$16,C51)*10000*0.2*'01_主数据假设'!J$21/F51</f>
        <v>58.5710389181585</v>
      </c>
      <c r="Q51" s="44">
        <f>SUMIFS('02_目标分解'!$G$5:$G$16,'02_目标分解'!$A$5:$A$16,A51,'02_目标分解'!$C$5:$C$16,C51)*10000*0.2*'01_主数据假设'!K$21/F51</f>
        <v>62.016394148638398</v>
      </c>
      <c r="R51" s="44">
        <f>SUMIFS('02_目标分解'!$G$5:$G$16,'02_目标分解'!$A$5:$A$16,A51,'02_目标分解'!$C$5:$C$16,C51)*10000*0.2*'01_主数据假设'!L$21/F51</f>
        <v>75.797815070558002</v>
      </c>
      <c r="S51" s="44">
        <f>SUMIFS('02_目标分解'!$G$5:$G$16,'02_目标分解'!$A$5:$A$16,A51,'02_目标分解'!$C$5:$C$16,C51)*10000*0.2*'01_主数据假设'!M$21/F51</f>
        <v>86.133880761997702</v>
      </c>
      <c r="T51" s="44">
        <f t="shared" si="0"/>
        <v>689.07104609598196</v>
      </c>
      <c r="U51" s="54">
        <f t="shared" si="1"/>
        <v>96</v>
      </c>
      <c r="V51" s="54">
        <f>SUMIFS('02_目标分解'!$G$5:$G$16,'02_目标分解'!$A$5:$A$16,A51,'02_目标分解'!$C$5:$C$16,C51)*0.2</f>
        <v>96</v>
      </c>
      <c r="W51" s="54">
        <f t="shared" si="2"/>
        <v>0</v>
      </c>
    </row>
    <row r="52" spans="1:23" ht="14.5">
      <c r="A52" s="12" t="s">
        <v>125</v>
      </c>
      <c r="B52" s="12" t="s">
        <v>126</v>
      </c>
      <c r="C52" s="12" t="s">
        <v>93</v>
      </c>
      <c r="D52" s="12" t="s">
        <v>94</v>
      </c>
      <c r="E52" s="12" t="s">
        <v>124</v>
      </c>
      <c r="F52" s="44">
        <f>SUMIFS('01_主数据假设'!$K$6:$K$8,'01_主数据假设'!$H$6:$H$8,C52)*SUMIFS('01_主数据假设'!$K$12:$K$15,'01_主数据假设'!$I$12:$I$15,E52)</f>
        <v>1223.28</v>
      </c>
      <c r="G52" s="44">
        <f>SUMIFS('01_主数据假设'!$O$6:$O$8,'01_主数据假设'!$H$6:$H$8,C52)</f>
        <v>507</v>
      </c>
      <c r="H52" s="44">
        <f>SUMIFS('02_目标分解'!$G$5:$G$16,'02_目标分解'!$A$5:$A$16,A52,'02_目标分解'!$C$5:$C$16,C52)*10000*0.15*'01_主数据假设'!B$21/F52</f>
        <v>41.2007062978223</v>
      </c>
      <c r="I52" s="44">
        <f>SUMIFS('02_目标分解'!$G$5:$G$16,'02_目标分解'!$A$5:$A$16,A52,'02_目标分解'!$C$5:$C$16,C52)*10000*0.15*'01_主数据假设'!C$21/F52</f>
        <v>35.314891112419097</v>
      </c>
      <c r="J52" s="44">
        <f>SUMIFS('02_目标分解'!$G$5:$G$16,'02_目标分解'!$A$5:$A$16,A52,'02_目标分解'!$C$5:$C$16,C52)*10000*0.15*'01_主数据假设'!D$21/F52</f>
        <v>41.2007062978223</v>
      </c>
      <c r="K52" s="44">
        <f>SUMIFS('02_目标分解'!$G$5:$G$16,'02_目标分解'!$A$5:$A$16,A52,'02_目标分解'!$C$5:$C$16,C52)*10000*0.15*'01_主数据假设'!E$21/F52</f>
        <v>44.143613890523802</v>
      </c>
      <c r="L52" s="44">
        <f>SUMIFS('02_目标分解'!$G$5:$G$16,'02_目标分解'!$A$5:$A$16,A52,'02_目标分解'!$C$5:$C$16,C52)*10000*0.15*'01_主数据假设'!F$21/F52</f>
        <v>44.143613890523802</v>
      </c>
      <c r="M52" s="44">
        <f>SUMIFS('02_目标分解'!$G$5:$G$16,'02_目标分解'!$A$5:$A$16,A52,'02_目标分解'!$C$5:$C$16,C52)*10000*0.15*'01_主数据假设'!G$21/F52</f>
        <v>47.086521483225397</v>
      </c>
      <c r="N52" s="44">
        <f>SUMIFS('02_目标分解'!$G$5:$G$16,'02_目标分解'!$A$5:$A$16,A52,'02_目标分解'!$C$5:$C$16,C52)*10000*0.15*'01_主数据假设'!H$21/F52</f>
        <v>47.086521483225397</v>
      </c>
      <c r="O52" s="44">
        <f>SUMIFS('02_目标分解'!$G$5:$G$16,'02_目标分解'!$A$5:$A$16,A52,'02_目标分解'!$C$5:$C$16,C52)*10000*0.15*'01_主数据假设'!I$21/F52</f>
        <v>47.086521483225397</v>
      </c>
      <c r="P52" s="44">
        <f>SUMIFS('02_目标分解'!$G$5:$G$16,'02_目标分解'!$A$5:$A$16,A52,'02_目标分解'!$C$5:$C$16,C52)*10000*0.15*'01_主数据假设'!J$21/F52</f>
        <v>50.029429075926998</v>
      </c>
      <c r="Q52" s="44">
        <f>SUMIFS('02_目标分解'!$G$5:$G$16,'02_目标分解'!$A$5:$A$16,A52,'02_目标分解'!$C$5:$C$16,C52)*10000*0.15*'01_主数据假设'!K$21/F52</f>
        <v>52.9723366686286</v>
      </c>
      <c r="R52" s="44">
        <f>SUMIFS('02_目标分解'!$G$5:$G$16,'02_目标分解'!$A$5:$A$16,A52,'02_目标分解'!$C$5:$C$16,C52)*10000*0.15*'01_主数据假设'!L$21/F52</f>
        <v>64.743967039435006</v>
      </c>
      <c r="S52" s="44">
        <f>SUMIFS('02_目标分解'!$G$5:$G$16,'02_目标分解'!$A$5:$A$16,A52,'02_目标分解'!$C$5:$C$16,C52)*10000*0.15*'01_主数据假设'!M$21/F52</f>
        <v>73.572689817539697</v>
      </c>
      <c r="T52" s="44">
        <f t="shared" si="0"/>
        <v>588.58151854031803</v>
      </c>
      <c r="U52" s="54">
        <f t="shared" si="1"/>
        <v>72</v>
      </c>
      <c r="V52" s="54">
        <f>SUMIFS('02_目标分解'!$G$5:$G$16,'02_目标分解'!$A$5:$A$16,A52,'02_目标分解'!$C$5:$C$16,C52)*0.15</f>
        <v>72</v>
      </c>
      <c r="W52" s="54">
        <f t="shared" si="2"/>
        <v>0</v>
      </c>
    </row>
  </sheetData>
  <mergeCells count="2">
    <mergeCell ref="A1:W1"/>
    <mergeCell ref="A2:W2"/>
  </mergeCells>
  <phoneticPr fontId="20" type="noConversion"/>
  <conditionalFormatting sqref="W5:W52">
    <cfRule type="colorScale" priority="1">
      <colorScale>
        <cfvo type="min"/>
        <cfvo type="percentile" val="50"/>
        <cfvo type="max"/>
        <color rgb="FFFDECEC"/>
        <color rgb="FFFFF4E5"/>
        <color rgb="FFE8F7F0"/>
      </colorScale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"/>
  <sheetViews>
    <sheetView workbookViewId="0"/>
  </sheetViews>
  <sheetFormatPr defaultColWidth="8.453125" defaultRowHeight="14"/>
  <cols>
    <col min="1" max="2" width="13" customWidth="1"/>
    <col min="3" max="3" width="21.1796875" customWidth="1"/>
    <col min="4" max="4" width="8.54296875"/>
    <col min="19" max="19" width="10.7265625" customWidth="1"/>
  </cols>
  <sheetData>
    <row r="1" spans="1:19" ht="25">
      <c r="A1" s="1"/>
      <c r="B1" s="1"/>
      <c r="C1" s="1"/>
    </row>
    <row r="2" spans="1:19" ht="14.5">
      <c r="A2" s="2"/>
      <c r="B2" s="2"/>
      <c r="C2" s="2"/>
    </row>
    <row r="3" spans="1:19" ht="16.5">
      <c r="A3" s="3"/>
      <c r="B3" s="3"/>
      <c r="C3" s="3"/>
    </row>
    <row r="4" spans="1:19" ht="16.5">
      <c r="A4" s="5" t="s">
        <v>100</v>
      </c>
      <c r="B4" s="50"/>
      <c r="C4" s="50"/>
      <c r="D4" s="31" t="s">
        <v>214</v>
      </c>
    </row>
    <row r="5" spans="1:19" ht="14.5">
      <c r="A5" s="10" t="s">
        <v>109</v>
      </c>
      <c r="B5" s="51"/>
      <c r="C5" s="51"/>
      <c r="D5" s="31" t="s">
        <v>215</v>
      </c>
    </row>
    <row r="6" spans="1:19" ht="14.5">
      <c r="A6" s="12" t="s">
        <v>114</v>
      </c>
      <c r="B6" s="51"/>
      <c r="C6" s="51"/>
      <c r="D6" s="30" t="s">
        <v>216</v>
      </c>
    </row>
    <row r="7" spans="1:19" ht="14.5">
      <c r="A7" s="12" t="s">
        <v>119</v>
      </c>
      <c r="B7" s="51"/>
      <c r="C7" s="51"/>
      <c r="D7" s="31" t="s">
        <v>217</v>
      </c>
    </row>
    <row r="8" spans="1:19" ht="14.5">
      <c r="A8" s="12" t="s">
        <v>124</v>
      </c>
      <c r="B8" s="51"/>
      <c r="C8" s="51"/>
      <c r="D8" s="31" t="s">
        <v>218</v>
      </c>
    </row>
    <row r="9" spans="1:19" ht="14.5">
      <c r="A9" s="12"/>
      <c r="B9" s="51"/>
      <c r="C9" s="51"/>
    </row>
    <row r="11" spans="1:19" ht="16.5">
      <c r="A11" s="5" t="s">
        <v>100</v>
      </c>
      <c r="B11" s="52"/>
      <c r="C11" s="52"/>
      <c r="D11" s="52" t="s">
        <v>130</v>
      </c>
      <c r="E11" s="52" t="s">
        <v>131</v>
      </c>
      <c r="F11" s="52" t="s">
        <v>132</v>
      </c>
      <c r="G11" s="52" t="s">
        <v>133</v>
      </c>
      <c r="H11" s="52" t="s">
        <v>134</v>
      </c>
      <c r="I11" s="52" t="s">
        <v>135</v>
      </c>
      <c r="J11" s="52" t="s">
        <v>136</v>
      </c>
      <c r="K11" s="52" t="s">
        <v>137</v>
      </c>
      <c r="L11" s="52" t="s">
        <v>138</v>
      </c>
      <c r="M11" s="52" t="s">
        <v>139</v>
      </c>
      <c r="N11" s="52" t="s">
        <v>140</v>
      </c>
      <c r="O11" s="52" t="s">
        <v>141</v>
      </c>
      <c r="Q11">
        <v>100</v>
      </c>
      <c r="R11">
        <v>0</v>
      </c>
      <c r="S11">
        <v>200</v>
      </c>
    </row>
    <row r="12" spans="1:19" ht="14.5">
      <c r="A12" s="71" t="s">
        <v>109</v>
      </c>
      <c r="B12" s="51" t="s">
        <v>219</v>
      </c>
      <c r="C12" s="51"/>
      <c r="D12" s="31" t="s">
        <v>220</v>
      </c>
      <c r="Q12">
        <v>70</v>
      </c>
      <c r="R12">
        <v>0</v>
      </c>
      <c r="S12" t="s">
        <v>221</v>
      </c>
    </row>
    <row r="13" spans="1:19" ht="14.5">
      <c r="A13" s="71"/>
      <c r="B13" s="51" t="s">
        <v>222</v>
      </c>
      <c r="C13" s="51"/>
      <c r="D13" s="31" t="s">
        <v>223</v>
      </c>
      <c r="Q13">
        <v>30</v>
      </c>
      <c r="S13">
        <f>200*0.3</f>
        <v>60</v>
      </c>
    </row>
    <row r="14" spans="1:19" ht="24" customHeight="1">
      <c r="A14" s="72"/>
      <c r="B14" s="51" t="s">
        <v>224</v>
      </c>
      <c r="C14" s="51" t="s">
        <v>225</v>
      </c>
      <c r="D14" s="31" t="s">
        <v>226</v>
      </c>
    </row>
    <row r="15" spans="1:19" ht="14.5">
      <c r="A15" s="73" t="s">
        <v>114</v>
      </c>
      <c r="B15" s="51" t="s">
        <v>219</v>
      </c>
      <c r="C15" s="51"/>
    </row>
    <row r="16" spans="1:19" ht="14.5">
      <c r="A16" s="71"/>
      <c r="B16" s="51" t="s">
        <v>222</v>
      </c>
      <c r="C16" s="51"/>
    </row>
    <row r="17" spans="1:3" ht="14.5">
      <c r="A17" s="72"/>
      <c r="B17" s="51" t="s">
        <v>224</v>
      </c>
      <c r="C17" s="51"/>
    </row>
    <row r="18" spans="1:3" ht="14.5">
      <c r="A18" s="73" t="s">
        <v>119</v>
      </c>
      <c r="B18" s="51" t="s">
        <v>219</v>
      </c>
      <c r="C18" s="51"/>
    </row>
    <row r="19" spans="1:3" ht="14.5">
      <c r="A19" s="71"/>
      <c r="B19" s="51" t="s">
        <v>222</v>
      </c>
      <c r="C19" s="51"/>
    </row>
    <row r="20" spans="1:3" ht="14.5">
      <c r="A20" s="72"/>
      <c r="B20" s="51" t="s">
        <v>224</v>
      </c>
      <c r="C20" s="51"/>
    </row>
    <row r="21" spans="1:3" ht="14.5">
      <c r="A21" s="73" t="s">
        <v>124</v>
      </c>
      <c r="B21" s="51" t="s">
        <v>219</v>
      </c>
      <c r="C21" s="51"/>
    </row>
    <row r="22" spans="1:3" ht="14.5">
      <c r="A22" s="71"/>
      <c r="B22" s="51" t="s">
        <v>222</v>
      </c>
      <c r="C22" s="51"/>
    </row>
    <row r="23" spans="1:3" ht="14.5">
      <c r="A23" s="71"/>
      <c r="B23" s="51" t="s">
        <v>224</v>
      </c>
      <c r="C23" s="51"/>
    </row>
  </sheetData>
  <mergeCells count="4">
    <mergeCell ref="A12:A14"/>
    <mergeCell ref="A15:A17"/>
    <mergeCell ref="A18:A20"/>
    <mergeCell ref="A21:A23"/>
  </mergeCells>
  <phoneticPr fontId="2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3"/>
  <sheetViews>
    <sheetView showGridLines="0" zoomScale="160" zoomScaleNormal="160" workbookViewId="0">
      <selection sqref="A1:J1"/>
    </sheetView>
  </sheetViews>
  <sheetFormatPr defaultColWidth="9" defaultRowHeight="14"/>
  <cols>
    <col min="1" max="1" width="11" customWidth="1"/>
    <col min="2" max="2" width="14" customWidth="1"/>
    <col min="3" max="3" width="20" customWidth="1"/>
    <col min="4" max="4" width="14" customWidth="1"/>
    <col min="5" max="5" width="18" customWidth="1"/>
    <col min="6" max="7" width="10" customWidth="1"/>
    <col min="8" max="9" width="15" customWidth="1"/>
    <col min="10" max="10" width="18" customWidth="1"/>
  </cols>
  <sheetData>
    <row r="1" spans="1:10" ht="34" customHeight="1">
      <c r="A1" s="65" t="s">
        <v>227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6" customHeight="1">
      <c r="A2" s="66" t="s">
        <v>228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6.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A4" s="68" t="s">
        <v>229</v>
      </c>
      <c r="B4" s="68"/>
      <c r="C4" s="68"/>
      <c r="D4" s="68"/>
      <c r="E4" s="68"/>
      <c r="F4" s="68"/>
      <c r="G4" s="68"/>
      <c r="H4" s="3"/>
      <c r="I4" s="3"/>
      <c r="J4" s="3"/>
    </row>
    <row r="5" spans="1:10" ht="49.5">
      <c r="A5" s="4" t="s">
        <v>71</v>
      </c>
      <c r="B5" s="5" t="s">
        <v>194</v>
      </c>
      <c r="C5" s="5" t="s">
        <v>230</v>
      </c>
      <c r="D5" s="5" t="s">
        <v>231</v>
      </c>
      <c r="E5" s="5" t="s">
        <v>232</v>
      </c>
      <c r="F5" s="5" t="s">
        <v>233</v>
      </c>
      <c r="G5" s="6" t="s">
        <v>234</v>
      </c>
      <c r="H5" s="3"/>
      <c r="I5" s="3"/>
      <c r="J5" s="3"/>
    </row>
    <row r="6" spans="1:10" ht="16.5">
      <c r="A6" s="10" t="s">
        <v>82</v>
      </c>
      <c r="B6" s="10" t="s">
        <v>83</v>
      </c>
      <c r="C6" s="10" t="s">
        <v>130</v>
      </c>
      <c r="D6" s="42">
        <f>SUMIFS('03_销售预算'!$H$5:$H$52,'03_销售预算'!$C$5:$C$52,A6)</f>
        <v>2992.4799794977398</v>
      </c>
      <c r="E6" s="42">
        <f>D6*0.12</f>
        <v>359.09759753972901</v>
      </c>
      <c r="F6" s="42">
        <f>SUMIFS('03_销售预算'!$I$5:$I$52,'03_销售预算'!$C$5:$C$52,A6)*SUMIFS('01_主数据假设'!$N$6:$N$8,'01_主数据假设'!$H$6:$H$8,A6)</f>
        <v>384.74742593542402</v>
      </c>
      <c r="G6" s="42">
        <f t="shared" ref="G6:G41" si="0">D6+F6-E6</f>
        <v>3018.1298078934401</v>
      </c>
      <c r="H6" s="3"/>
      <c r="I6" s="3"/>
      <c r="J6" s="3"/>
    </row>
    <row r="7" spans="1:10" ht="16.5">
      <c r="A7" s="12" t="s">
        <v>82</v>
      </c>
      <c r="B7" s="12" t="s">
        <v>83</v>
      </c>
      <c r="C7" s="12" t="s">
        <v>131</v>
      </c>
      <c r="D7" s="44">
        <f>SUMIFS('03_销售预算'!$I$5:$I$52,'03_销售预算'!$C$5:$C$52,A7)</f>
        <v>2564.9828395694899</v>
      </c>
      <c r="E7" s="44">
        <f t="shared" ref="E7:E17" si="1">F6</f>
        <v>384.74742593542402</v>
      </c>
      <c r="F7" s="44">
        <f>SUMIFS('03_销售预算'!$J$5:$J$52,'03_销售预算'!$C$5:$C$52,A7)*SUMIFS('01_主数据假设'!$N$6:$N$8,'01_主数据假设'!$H$6:$H$8,A7)</f>
        <v>448.871996924661</v>
      </c>
      <c r="G7" s="44">
        <f t="shared" si="0"/>
        <v>2629.10741055873</v>
      </c>
      <c r="H7" s="3"/>
      <c r="I7" s="3"/>
      <c r="J7" s="3"/>
    </row>
    <row r="8" spans="1:10" ht="16.5">
      <c r="A8" s="12" t="s">
        <v>82</v>
      </c>
      <c r="B8" s="12" t="s">
        <v>83</v>
      </c>
      <c r="C8" s="12" t="s">
        <v>132</v>
      </c>
      <c r="D8" s="44">
        <f>SUMIFS('03_销售预算'!$J$5:$J$52,'03_销售预算'!$C$5:$C$52,A8)</f>
        <v>2992.4799794977398</v>
      </c>
      <c r="E8" s="44">
        <f t="shared" si="1"/>
        <v>448.871996924661</v>
      </c>
      <c r="F8" s="44">
        <f>SUMIFS('03_销售预算'!$K$5:$K$52,'03_销售预算'!$C$5:$C$52,A8)*SUMIFS('01_主数据假设'!$N$6:$N$8,'01_主数据假设'!$H$6:$H$8,A8)</f>
        <v>480.93428241928001</v>
      </c>
      <c r="G8" s="44">
        <f t="shared" si="0"/>
        <v>3024.5422649923598</v>
      </c>
      <c r="H8" s="3"/>
      <c r="I8" s="3"/>
      <c r="J8" s="3"/>
    </row>
    <row r="9" spans="1:10" ht="16.5">
      <c r="A9" s="12" t="s">
        <v>82</v>
      </c>
      <c r="B9" s="12" t="s">
        <v>83</v>
      </c>
      <c r="C9" s="12" t="s">
        <v>133</v>
      </c>
      <c r="D9" s="44">
        <f>SUMIFS('03_销售预算'!$K$5:$K$52,'03_销售预算'!$C$5:$C$52,A9)</f>
        <v>3206.22854946186</v>
      </c>
      <c r="E9" s="44">
        <f t="shared" si="1"/>
        <v>480.93428241928001</v>
      </c>
      <c r="F9" s="44">
        <f>SUMIFS('03_销售预算'!$L$5:$L$52,'03_销售预算'!$C$5:$C$52,A9)*SUMIFS('01_主数据假设'!$N$6:$N$8,'01_主数据假设'!$H$6:$H$8,A9)</f>
        <v>480.93428241928001</v>
      </c>
      <c r="G9" s="44">
        <f t="shared" si="0"/>
        <v>3206.22854946186</v>
      </c>
      <c r="H9" s="3"/>
      <c r="I9" s="3"/>
      <c r="J9" s="3"/>
    </row>
    <row r="10" spans="1:10" ht="16.5">
      <c r="A10" s="12" t="s">
        <v>82</v>
      </c>
      <c r="B10" s="12" t="s">
        <v>83</v>
      </c>
      <c r="C10" s="12" t="s">
        <v>134</v>
      </c>
      <c r="D10" s="44">
        <f>SUMIFS('03_销售预算'!$L$5:$L$52,'03_销售预算'!$C$5:$C$52,A10)</f>
        <v>3206.22854946186</v>
      </c>
      <c r="E10" s="44">
        <f t="shared" si="1"/>
        <v>480.93428241928001</v>
      </c>
      <c r="F10" s="44">
        <f>SUMIFS('03_销售预算'!$M$5:$M$52,'03_销售预算'!$C$5:$C$52,A10)*SUMIFS('01_主数据假设'!$N$6:$N$8,'01_主数据假设'!$H$6:$H$8,A10)</f>
        <v>512.99656791389805</v>
      </c>
      <c r="G10" s="44">
        <f t="shared" si="0"/>
        <v>3238.29083495648</v>
      </c>
      <c r="H10" s="3"/>
      <c r="I10" s="3"/>
      <c r="J10" s="3"/>
    </row>
    <row r="11" spans="1:10" ht="16.5">
      <c r="A11" s="12" t="s">
        <v>82</v>
      </c>
      <c r="B11" s="12" t="s">
        <v>83</v>
      </c>
      <c r="C11" s="12" t="s">
        <v>135</v>
      </c>
      <c r="D11" s="44">
        <f>SUMIFS('03_销售预算'!$M$5:$M$52,'03_销售预算'!$C$5:$C$52,A11)</f>
        <v>3419.9771194259902</v>
      </c>
      <c r="E11" s="44">
        <f t="shared" si="1"/>
        <v>512.99656791389805</v>
      </c>
      <c r="F11" s="44">
        <f>SUMIFS('03_销售预算'!$N$5:$N$52,'03_销售预算'!$C$5:$C$52,A11)*SUMIFS('01_主数据假设'!$N$6:$N$8,'01_主数据假设'!$H$6:$H$8,A11)</f>
        <v>512.99656791389805</v>
      </c>
      <c r="G11" s="44">
        <f t="shared" si="0"/>
        <v>3419.9771194259902</v>
      </c>
      <c r="H11" s="3"/>
      <c r="I11" s="3"/>
      <c r="J11" s="3"/>
    </row>
    <row r="12" spans="1:10" ht="16.5">
      <c r="A12" s="12" t="s">
        <v>82</v>
      </c>
      <c r="B12" s="12" t="s">
        <v>83</v>
      </c>
      <c r="C12" s="12" t="s">
        <v>136</v>
      </c>
      <c r="D12" s="44">
        <f>SUMIFS('03_销售预算'!$N$5:$N$52,'03_销售预算'!$C$5:$C$52,A12)</f>
        <v>3419.9771194259902</v>
      </c>
      <c r="E12" s="44">
        <f t="shared" si="1"/>
        <v>512.99656791389805</v>
      </c>
      <c r="F12" s="44">
        <f>SUMIFS('03_销售预算'!$O$5:$O$52,'03_销售预算'!$C$5:$C$52,A12)*SUMIFS('01_主数据假设'!$N$6:$N$8,'01_主数据假设'!$H$6:$H$8,A12)</f>
        <v>512.99656791389805</v>
      </c>
      <c r="G12" s="44">
        <f t="shared" si="0"/>
        <v>3419.9771194259902</v>
      </c>
      <c r="H12" s="3"/>
      <c r="I12" s="3"/>
      <c r="J12" s="3"/>
    </row>
    <row r="13" spans="1:10" ht="16.5">
      <c r="A13" s="12" t="s">
        <v>82</v>
      </c>
      <c r="B13" s="12" t="s">
        <v>83</v>
      </c>
      <c r="C13" s="12" t="s">
        <v>137</v>
      </c>
      <c r="D13" s="44">
        <f>SUMIFS('03_销售预算'!$O$5:$O$52,'03_销售预算'!$C$5:$C$52,A13)</f>
        <v>3419.9771194259902</v>
      </c>
      <c r="E13" s="44">
        <f t="shared" si="1"/>
        <v>512.99656791389805</v>
      </c>
      <c r="F13" s="44">
        <f>SUMIFS('03_销售预算'!$P$5:$P$52,'03_销售预算'!$C$5:$C$52,A13)*SUMIFS('01_主数据假设'!$N$6:$N$8,'01_主数据假设'!$H$6:$H$8,A13)</f>
        <v>545.05885340851705</v>
      </c>
      <c r="G13" s="44">
        <f t="shared" si="0"/>
        <v>3452.0394049206102</v>
      </c>
      <c r="H13" s="3"/>
      <c r="I13" s="3"/>
      <c r="J13" s="3"/>
    </row>
    <row r="14" spans="1:10" ht="16.5">
      <c r="A14" s="12" t="s">
        <v>82</v>
      </c>
      <c r="B14" s="12" t="s">
        <v>83</v>
      </c>
      <c r="C14" s="12" t="s">
        <v>138</v>
      </c>
      <c r="D14" s="44">
        <f>SUMIFS('03_销售预算'!$P$5:$P$52,'03_销售预算'!$C$5:$C$52,A14)</f>
        <v>3633.7256893901099</v>
      </c>
      <c r="E14" s="44">
        <f t="shared" si="1"/>
        <v>545.05885340851705</v>
      </c>
      <c r="F14" s="44">
        <f>SUMIFS('03_销售预算'!$Q$5:$Q$52,'03_销售预算'!$C$5:$C$52,A14)*SUMIFS('01_主数据假设'!$N$6:$N$8,'01_主数据假设'!$H$6:$H$8,A14)</f>
        <v>577.12113890313606</v>
      </c>
      <c r="G14" s="44">
        <f t="shared" si="0"/>
        <v>3665.7879748847299</v>
      </c>
      <c r="H14" s="3"/>
      <c r="I14" s="3"/>
      <c r="J14" s="3"/>
    </row>
    <row r="15" spans="1:10" ht="16.5">
      <c r="A15" s="12" t="s">
        <v>82</v>
      </c>
      <c r="B15" s="12" t="s">
        <v>83</v>
      </c>
      <c r="C15" s="12" t="s">
        <v>139</v>
      </c>
      <c r="D15" s="44">
        <f>SUMIFS('03_销售预算'!$Q$5:$Q$52,'03_销售预算'!$C$5:$C$52,A15)</f>
        <v>3847.4742593542401</v>
      </c>
      <c r="E15" s="44">
        <f t="shared" si="1"/>
        <v>577.12113890313606</v>
      </c>
      <c r="F15" s="44">
        <f>SUMIFS('03_销售预算'!$R$5:$R$52,'03_销售预算'!$C$5:$C$52,A15)*SUMIFS('01_主数据假设'!$N$6:$N$8,'01_主数据假设'!$H$6:$H$8,A15)</f>
        <v>705.37028088161003</v>
      </c>
      <c r="G15" s="44">
        <f t="shared" si="0"/>
        <v>3975.7234013327102</v>
      </c>
      <c r="H15" s="3"/>
      <c r="I15" s="3"/>
      <c r="J15" s="3"/>
    </row>
    <row r="16" spans="1:10" ht="16.5">
      <c r="A16" s="12" t="s">
        <v>82</v>
      </c>
      <c r="B16" s="12" t="s">
        <v>83</v>
      </c>
      <c r="C16" s="12" t="s">
        <v>140</v>
      </c>
      <c r="D16" s="44">
        <f>SUMIFS('03_销售预算'!$R$5:$R$52,'03_销售预算'!$C$5:$C$52,A16)</f>
        <v>4702.4685392107403</v>
      </c>
      <c r="E16" s="44">
        <f t="shared" si="1"/>
        <v>705.37028088161003</v>
      </c>
      <c r="F16" s="44">
        <f>SUMIFS('03_销售预算'!$S$5:$S$52,'03_销售预算'!$C$5:$C$52,A16)*SUMIFS('01_主数据假设'!$N$6:$N$8,'01_主数据假设'!$H$6:$H$8,A16)</f>
        <v>801.55713736546602</v>
      </c>
      <c r="G16" s="44">
        <f t="shared" si="0"/>
        <v>4798.65539569459</v>
      </c>
      <c r="H16" s="3"/>
      <c r="I16" s="3"/>
      <c r="J16" s="3"/>
    </row>
    <row r="17" spans="1:10" ht="16.5">
      <c r="A17" s="12" t="s">
        <v>82</v>
      </c>
      <c r="B17" s="12" t="s">
        <v>83</v>
      </c>
      <c r="C17" s="12" t="s">
        <v>141</v>
      </c>
      <c r="D17" s="44">
        <f>SUMIFS('03_销售预算'!$S$5:$S$52,'03_销售预算'!$C$5:$C$52,A17)</f>
        <v>5343.71424910311</v>
      </c>
      <c r="E17" s="44">
        <f t="shared" si="1"/>
        <v>801.55713736546602</v>
      </c>
      <c r="F17" s="44">
        <f>D17*0.1</f>
        <v>534.37142491031102</v>
      </c>
      <c r="G17" s="44">
        <f t="shared" si="0"/>
        <v>5076.5285366479502</v>
      </c>
      <c r="H17" s="3"/>
      <c r="I17" s="3"/>
      <c r="J17" s="3"/>
    </row>
    <row r="18" spans="1:10" ht="16.5">
      <c r="A18" s="12" t="s">
        <v>88</v>
      </c>
      <c r="B18" s="12" t="s">
        <v>89</v>
      </c>
      <c r="C18" s="12" t="s">
        <v>130</v>
      </c>
      <c r="D18" s="44">
        <f>SUMIFS('03_销售预算'!$H$5:$H$52,'03_销售预算'!$C$5:$C$52,A18)</f>
        <v>3783.4566815312801</v>
      </c>
      <c r="E18" s="44">
        <f>D18*0.12</f>
        <v>454.014801783753</v>
      </c>
      <c r="F18" s="44">
        <f>SUMIFS('03_销售预算'!$I$5:$I$52,'03_销售预算'!$C$5:$C$52,A18)*SUMIFS('01_主数据假设'!$N$6:$N$8,'01_主数据假设'!$H$6:$H$8,A18)</f>
        <v>486.44443048259302</v>
      </c>
      <c r="G18" s="44">
        <f t="shared" si="0"/>
        <v>3815.8863102301202</v>
      </c>
      <c r="H18" s="3"/>
      <c r="I18" s="3"/>
      <c r="J18" s="3"/>
    </row>
    <row r="19" spans="1:10" ht="16.5">
      <c r="A19" s="12" t="s">
        <v>88</v>
      </c>
      <c r="B19" s="12" t="s">
        <v>89</v>
      </c>
      <c r="C19" s="12" t="s">
        <v>131</v>
      </c>
      <c r="D19" s="44">
        <f>SUMIFS('03_销售预算'!$I$5:$I$52,'03_销售预算'!$C$5:$C$52,A19)</f>
        <v>3242.9628698839501</v>
      </c>
      <c r="E19" s="44">
        <f t="shared" ref="E19:E29" si="2">F18</f>
        <v>486.44443048259302</v>
      </c>
      <c r="F19" s="44">
        <f>SUMIFS('03_销售预算'!$J$5:$J$52,'03_销售预算'!$C$5:$C$52,A19)*SUMIFS('01_主数据假设'!$N$6:$N$8,'01_主数据假设'!$H$6:$H$8,A19)</f>
        <v>567.51850222969199</v>
      </c>
      <c r="G19" s="44">
        <f t="shared" si="0"/>
        <v>3324.03694163105</v>
      </c>
      <c r="H19" s="3"/>
      <c r="I19" s="3"/>
      <c r="J19" s="3"/>
    </row>
    <row r="20" spans="1:10" ht="16.5">
      <c r="A20" s="12" t="s">
        <v>88</v>
      </c>
      <c r="B20" s="12" t="s">
        <v>89</v>
      </c>
      <c r="C20" s="12" t="s">
        <v>132</v>
      </c>
      <c r="D20" s="44">
        <f>SUMIFS('03_销售预算'!$J$5:$J$52,'03_销售预算'!$C$5:$C$52,A20)</f>
        <v>3783.4566815312801</v>
      </c>
      <c r="E20" s="44">
        <f t="shared" si="2"/>
        <v>567.51850222969199</v>
      </c>
      <c r="F20" s="44">
        <f>SUMIFS('03_销售预算'!$K$5:$K$52,'03_销售预算'!$C$5:$C$52,A20)*SUMIFS('01_主数据假设'!$N$6:$N$8,'01_主数据假设'!$H$6:$H$8,A20)</f>
        <v>608.05553810324102</v>
      </c>
      <c r="G20" s="44">
        <f t="shared" si="0"/>
        <v>3823.99371740483</v>
      </c>
      <c r="H20" s="3"/>
      <c r="I20" s="3"/>
      <c r="J20" s="3"/>
    </row>
    <row r="21" spans="1:10" ht="16.5">
      <c r="A21" s="12" t="s">
        <v>88</v>
      </c>
      <c r="B21" s="12" t="s">
        <v>89</v>
      </c>
      <c r="C21" s="12" t="s">
        <v>133</v>
      </c>
      <c r="D21" s="44">
        <f>SUMIFS('03_销售预算'!$K$5:$K$52,'03_销售预算'!$C$5:$C$52,A21)</f>
        <v>4053.7035873549398</v>
      </c>
      <c r="E21" s="44">
        <f t="shared" si="2"/>
        <v>608.05553810324102</v>
      </c>
      <c r="F21" s="44">
        <f>SUMIFS('03_销售预算'!$L$5:$L$52,'03_销售预算'!$C$5:$C$52,A21)*SUMIFS('01_主数据假设'!$N$6:$N$8,'01_主数据假设'!$H$6:$H$8,A21)</f>
        <v>608.05553810324102</v>
      </c>
      <c r="G21" s="44">
        <f t="shared" si="0"/>
        <v>4053.7035873549398</v>
      </c>
      <c r="H21" s="3"/>
      <c r="I21" s="3"/>
      <c r="J21" s="3"/>
    </row>
    <row r="22" spans="1:10" ht="16.5">
      <c r="A22" s="12" t="s">
        <v>88</v>
      </c>
      <c r="B22" s="12" t="s">
        <v>89</v>
      </c>
      <c r="C22" s="12" t="s">
        <v>134</v>
      </c>
      <c r="D22" s="44">
        <f>SUMIFS('03_销售预算'!$L$5:$L$52,'03_销售预算'!$C$5:$C$52,A22)</f>
        <v>4053.7035873549398</v>
      </c>
      <c r="E22" s="44">
        <f t="shared" si="2"/>
        <v>608.05553810324102</v>
      </c>
      <c r="F22" s="44">
        <f>SUMIFS('03_销售预算'!$M$5:$M$52,'03_销售预算'!$C$5:$C$52,A22)*SUMIFS('01_主数据假设'!$N$6:$N$8,'01_主数据假设'!$H$6:$H$8,A22)</f>
        <v>648.59257397679096</v>
      </c>
      <c r="G22" s="44">
        <f t="shared" si="0"/>
        <v>4094.2406232284902</v>
      </c>
      <c r="H22" s="3"/>
      <c r="I22" s="3"/>
      <c r="J22" s="3"/>
    </row>
    <row r="23" spans="1:10" ht="16.5">
      <c r="A23" s="12" t="s">
        <v>88</v>
      </c>
      <c r="B23" s="12" t="s">
        <v>89</v>
      </c>
      <c r="C23" s="12" t="s">
        <v>135</v>
      </c>
      <c r="D23" s="44">
        <f>SUMIFS('03_销售预算'!$M$5:$M$52,'03_销售预算'!$C$5:$C$52,A23)</f>
        <v>4323.9504931785996</v>
      </c>
      <c r="E23" s="44">
        <f t="shared" si="2"/>
        <v>648.59257397679096</v>
      </c>
      <c r="F23" s="44">
        <f>SUMIFS('03_销售预算'!$N$5:$N$52,'03_销售预算'!$C$5:$C$52,A23)*SUMIFS('01_主数据假设'!$N$6:$N$8,'01_主数据假设'!$H$6:$H$8,A23)</f>
        <v>648.59257397679096</v>
      </c>
      <c r="G23" s="44">
        <f t="shared" si="0"/>
        <v>4323.9504931785996</v>
      </c>
      <c r="H23" s="3"/>
      <c r="I23" s="3"/>
      <c r="J23" s="3"/>
    </row>
    <row r="24" spans="1:10" ht="16.5">
      <c r="A24" s="12" t="s">
        <v>88</v>
      </c>
      <c r="B24" s="12" t="s">
        <v>89</v>
      </c>
      <c r="C24" s="12" t="s">
        <v>136</v>
      </c>
      <c r="D24" s="44">
        <f>SUMIFS('03_销售预算'!$N$5:$N$52,'03_销售预算'!$C$5:$C$52,A24)</f>
        <v>4323.9504931785996</v>
      </c>
      <c r="E24" s="44">
        <f t="shared" si="2"/>
        <v>648.59257397679096</v>
      </c>
      <c r="F24" s="44">
        <f>SUMIFS('03_销售预算'!$O$5:$O$52,'03_销售预算'!$C$5:$C$52,A24)*SUMIFS('01_主数据假设'!$N$6:$N$8,'01_主数据假设'!$H$6:$H$8,A24)</f>
        <v>648.59257397679096</v>
      </c>
      <c r="G24" s="44">
        <f t="shared" si="0"/>
        <v>4323.9504931785996</v>
      </c>
      <c r="H24" s="3"/>
      <c r="I24" s="3"/>
      <c r="J24" s="3"/>
    </row>
    <row r="25" spans="1:10" ht="16.5">
      <c r="A25" s="12" t="s">
        <v>88</v>
      </c>
      <c r="B25" s="12" t="s">
        <v>89</v>
      </c>
      <c r="C25" s="12" t="s">
        <v>137</v>
      </c>
      <c r="D25" s="44">
        <f>SUMIFS('03_销售预算'!$O$5:$O$52,'03_销售预算'!$C$5:$C$52,A25)</f>
        <v>4323.9504931785996</v>
      </c>
      <c r="E25" s="44">
        <f t="shared" si="2"/>
        <v>648.59257397679096</v>
      </c>
      <c r="F25" s="44">
        <f>SUMIFS('03_销售预算'!$P$5:$P$52,'03_销售预算'!$C$5:$C$52,A25)*SUMIFS('01_主数据假设'!$N$6:$N$8,'01_主数据假设'!$H$6:$H$8,A25)</f>
        <v>689.12960985033999</v>
      </c>
      <c r="G25" s="44">
        <f t="shared" si="0"/>
        <v>4364.4875290521504</v>
      </c>
      <c r="H25" s="3"/>
      <c r="I25" s="3"/>
      <c r="J25" s="3"/>
    </row>
    <row r="26" spans="1:10" ht="16.5">
      <c r="A26" s="12" t="s">
        <v>88</v>
      </c>
      <c r="B26" s="12" t="s">
        <v>89</v>
      </c>
      <c r="C26" s="12" t="s">
        <v>138</v>
      </c>
      <c r="D26" s="44">
        <f>SUMIFS('03_销售预算'!$P$5:$P$52,'03_销售预算'!$C$5:$C$52,A26)</f>
        <v>4594.1973990022698</v>
      </c>
      <c r="E26" s="44">
        <f t="shared" si="2"/>
        <v>689.12960985033999</v>
      </c>
      <c r="F26" s="44">
        <f>SUMIFS('03_销售预算'!$Q$5:$Q$52,'03_销售预算'!$C$5:$C$52,A26)*SUMIFS('01_主数据假设'!$N$6:$N$8,'01_主数据假设'!$H$6:$H$8,A26)</f>
        <v>729.66664572388902</v>
      </c>
      <c r="G26" s="44">
        <f t="shared" si="0"/>
        <v>4634.7344348758197</v>
      </c>
      <c r="H26" s="3"/>
      <c r="I26" s="3"/>
      <c r="J26" s="3"/>
    </row>
    <row r="27" spans="1:10" ht="16.5">
      <c r="A27" s="12" t="s">
        <v>88</v>
      </c>
      <c r="B27" s="12" t="s">
        <v>89</v>
      </c>
      <c r="C27" s="12" t="s">
        <v>139</v>
      </c>
      <c r="D27" s="44">
        <f>SUMIFS('03_销售预算'!$Q$5:$Q$52,'03_销售预算'!$C$5:$C$52,A27)</f>
        <v>4864.44430482593</v>
      </c>
      <c r="E27" s="44">
        <f t="shared" si="2"/>
        <v>729.66664572388902</v>
      </c>
      <c r="F27" s="44">
        <f>SUMIFS('03_销售预算'!$R$5:$R$52,'03_销售预算'!$C$5:$C$52,A27)*SUMIFS('01_主数据假设'!$N$6:$N$8,'01_主数据假设'!$H$6:$H$8,A27)</f>
        <v>891.81478921808696</v>
      </c>
      <c r="G27" s="44">
        <f t="shared" si="0"/>
        <v>5026.5924483201297</v>
      </c>
      <c r="H27" s="3"/>
      <c r="I27" s="3"/>
      <c r="J27" s="3"/>
    </row>
    <row r="28" spans="1:10" ht="16.5">
      <c r="A28" s="12" t="s">
        <v>88</v>
      </c>
      <c r="B28" s="12" t="s">
        <v>89</v>
      </c>
      <c r="C28" s="12" t="s">
        <v>140</v>
      </c>
      <c r="D28" s="44">
        <f>SUMIFS('03_销售预算'!$R$5:$R$52,'03_销售预算'!$C$5:$C$52,A28)</f>
        <v>5945.4319281205799</v>
      </c>
      <c r="E28" s="44">
        <f t="shared" si="2"/>
        <v>891.81478921808696</v>
      </c>
      <c r="F28" s="44">
        <f>SUMIFS('03_销售预算'!$S$5:$S$52,'03_销售预算'!$C$5:$C$52,A28)*SUMIFS('01_主数据假设'!$N$6:$N$8,'01_主数据假设'!$H$6:$H$8,A28)</f>
        <v>1013.42589683874</v>
      </c>
      <c r="G28" s="44">
        <f t="shared" si="0"/>
        <v>6067.0430357412297</v>
      </c>
      <c r="H28" s="3"/>
      <c r="I28" s="3"/>
      <c r="J28" s="3"/>
    </row>
    <row r="29" spans="1:10" ht="16.5">
      <c r="A29" s="12" t="s">
        <v>88</v>
      </c>
      <c r="B29" s="12" t="s">
        <v>89</v>
      </c>
      <c r="C29" s="12" t="s">
        <v>141</v>
      </c>
      <c r="D29" s="44">
        <f>SUMIFS('03_销售预算'!$S$5:$S$52,'03_销售预算'!$C$5:$C$52,A29)</f>
        <v>6756.1726455915696</v>
      </c>
      <c r="E29" s="44">
        <f t="shared" si="2"/>
        <v>1013.42589683874</v>
      </c>
      <c r="F29" s="44">
        <f>D29*0.1</f>
        <v>675.61726455915698</v>
      </c>
      <c r="G29" s="44">
        <f t="shared" si="0"/>
        <v>6418.3640133119898</v>
      </c>
      <c r="H29" s="3"/>
      <c r="I29" s="3"/>
      <c r="J29" s="3"/>
    </row>
    <row r="30" spans="1:10" ht="16.5">
      <c r="A30" s="12" t="s">
        <v>93</v>
      </c>
      <c r="B30" s="12" t="s">
        <v>94</v>
      </c>
      <c r="C30" s="12" t="s">
        <v>130</v>
      </c>
      <c r="D30" s="44">
        <f>SUMIFS('03_销售预算'!$H$5:$H$52,'03_销售预算'!$C$5:$C$52,A30)</f>
        <v>1429.97038455252</v>
      </c>
      <c r="E30" s="44">
        <f>D30*0.12</f>
        <v>171.59644614630199</v>
      </c>
      <c r="F30" s="44">
        <f>SUMIFS('03_销售预算'!$I$5:$I$52,'03_销售预算'!$C$5:$C$52,A30)*SUMIFS('01_主数据假设'!$N$6:$N$8,'01_主数据假设'!$H$6:$H$8,A30)</f>
        <v>220.62400218810299</v>
      </c>
      <c r="G30" s="44">
        <f t="shared" si="0"/>
        <v>1478.99794059432</v>
      </c>
      <c r="H30" s="3"/>
      <c r="I30" s="3"/>
      <c r="J30" s="3"/>
    </row>
    <row r="31" spans="1:10" ht="16.5">
      <c r="A31" s="12" t="s">
        <v>93</v>
      </c>
      <c r="B31" s="12" t="s">
        <v>94</v>
      </c>
      <c r="C31" s="12" t="s">
        <v>131</v>
      </c>
      <c r="D31" s="44">
        <f>SUMIFS('03_销售预算'!$I$5:$I$52,'03_销售预算'!$C$5:$C$52,A31)</f>
        <v>1225.68890104502</v>
      </c>
      <c r="E31" s="44">
        <f t="shared" ref="E31:E41" si="3">F30</f>
        <v>220.62400218810299</v>
      </c>
      <c r="F31" s="44">
        <f>SUMIFS('03_销售预算'!$J$5:$J$52,'03_销售预算'!$C$5:$C$52,A31)*SUMIFS('01_主数据假设'!$N$6:$N$8,'01_主数据假设'!$H$6:$H$8,A31)</f>
        <v>257.39466921945302</v>
      </c>
      <c r="G31" s="44">
        <f t="shared" si="0"/>
        <v>1262.45956807637</v>
      </c>
      <c r="H31" s="3"/>
      <c r="I31" s="3"/>
      <c r="J31" s="3"/>
    </row>
    <row r="32" spans="1:10" ht="16.5">
      <c r="A32" s="12" t="s">
        <v>93</v>
      </c>
      <c r="B32" s="12" t="s">
        <v>94</v>
      </c>
      <c r="C32" s="12" t="s">
        <v>132</v>
      </c>
      <c r="D32" s="44">
        <f>SUMIFS('03_销售预算'!$J$5:$J$52,'03_销售预算'!$C$5:$C$52,A32)</f>
        <v>1429.97038455252</v>
      </c>
      <c r="E32" s="44">
        <f t="shared" si="3"/>
        <v>257.39466921945302</v>
      </c>
      <c r="F32" s="44">
        <f>SUMIFS('03_销售预算'!$K$5:$K$52,'03_销售预算'!$C$5:$C$52,A32)*SUMIFS('01_主数据假设'!$N$6:$N$8,'01_主数据假设'!$H$6:$H$8,A32)</f>
        <v>275.78000273512799</v>
      </c>
      <c r="G32" s="44">
        <f t="shared" si="0"/>
        <v>1448.3557180681901</v>
      </c>
      <c r="H32" s="3"/>
      <c r="I32" s="3"/>
      <c r="J32" s="3"/>
    </row>
    <row r="33" spans="1:10" ht="16.5">
      <c r="A33" s="12" t="s">
        <v>93</v>
      </c>
      <c r="B33" s="12" t="s">
        <v>94</v>
      </c>
      <c r="C33" s="12" t="s">
        <v>133</v>
      </c>
      <c r="D33" s="44">
        <f>SUMIFS('03_销售预算'!$K$5:$K$52,'03_销售预算'!$C$5:$C$52,A33)</f>
        <v>1532.1111263062701</v>
      </c>
      <c r="E33" s="44">
        <f t="shared" si="3"/>
        <v>275.78000273512799</v>
      </c>
      <c r="F33" s="44">
        <f>SUMIFS('03_销售预算'!$L$5:$L$52,'03_销售预算'!$C$5:$C$52,A33)*SUMIFS('01_主数据假设'!$N$6:$N$8,'01_主数据假设'!$H$6:$H$8,A33)</f>
        <v>275.78000273512799</v>
      </c>
      <c r="G33" s="44">
        <f t="shared" si="0"/>
        <v>1532.1111263062701</v>
      </c>
      <c r="H33" s="3"/>
      <c r="I33" s="3"/>
      <c r="J33" s="3"/>
    </row>
    <row r="34" spans="1:10" ht="16.5">
      <c r="A34" s="12" t="s">
        <v>93</v>
      </c>
      <c r="B34" s="12" t="s">
        <v>94</v>
      </c>
      <c r="C34" s="12" t="s">
        <v>134</v>
      </c>
      <c r="D34" s="44">
        <f>SUMIFS('03_销售预算'!$L$5:$L$52,'03_销售预算'!$C$5:$C$52,A34)</f>
        <v>1532.1111263062701</v>
      </c>
      <c r="E34" s="44">
        <f t="shared" si="3"/>
        <v>275.78000273512799</v>
      </c>
      <c r="F34" s="44">
        <f>SUMIFS('03_销售预算'!$M$5:$M$52,'03_销售预算'!$C$5:$C$52,A34)*SUMIFS('01_主数据假设'!$N$6:$N$8,'01_主数据假设'!$H$6:$H$8,A34)</f>
        <v>294.16533625080399</v>
      </c>
      <c r="G34" s="44">
        <f t="shared" si="0"/>
        <v>1550.4964598219401</v>
      </c>
      <c r="H34" s="3"/>
      <c r="I34" s="3"/>
      <c r="J34" s="3"/>
    </row>
    <row r="35" spans="1:10" ht="16.5">
      <c r="A35" s="12" t="s">
        <v>93</v>
      </c>
      <c r="B35" s="12" t="s">
        <v>94</v>
      </c>
      <c r="C35" s="12" t="s">
        <v>135</v>
      </c>
      <c r="D35" s="44">
        <f>SUMIFS('03_销售预算'!$M$5:$M$52,'03_销售预算'!$C$5:$C$52,A35)</f>
        <v>1634.2518680600199</v>
      </c>
      <c r="E35" s="44">
        <f t="shared" si="3"/>
        <v>294.16533625080399</v>
      </c>
      <c r="F35" s="44">
        <f>SUMIFS('03_销售预算'!$N$5:$N$52,'03_销售预算'!$C$5:$C$52,A35)*SUMIFS('01_主数据假设'!$N$6:$N$8,'01_主数据假设'!$H$6:$H$8,A35)</f>
        <v>294.16533625080399</v>
      </c>
      <c r="G35" s="44">
        <f t="shared" si="0"/>
        <v>1634.2518680600199</v>
      </c>
      <c r="H35" s="3"/>
      <c r="I35" s="3"/>
      <c r="J35" s="3"/>
    </row>
    <row r="36" spans="1:10" ht="16.5">
      <c r="A36" s="12" t="s">
        <v>93</v>
      </c>
      <c r="B36" s="12" t="s">
        <v>94</v>
      </c>
      <c r="C36" s="12" t="s">
        <v>136</v>
      </c>
      <c r="D36" s="44">
        <f>SUMIFS('03_销售预算'!$N$5:$N$52,'03_销售预算'!$C$5:$C$52,A36)</f>
        <v>1634.2518680600199</v>
      </c>
      <c r="E36" s="44">
        <f t="shared" si="3"/>
        <v>294.16533625080399</v>
      </c>
      <c r="F36" s="44">
        <f>SUMIFS('03_销售预算'!$O$5:$O$52,'03_销售预算'!$C$5:$C$52,A36)*SUMIFS('01_主数据假设'!$N$6:$N$8,'01_主数据假设'!$H$6:$H$8,A36)</f>
        <v>294.16533625080399</v>
      </c>
      <c r="G36" s="44">
        <f t="shared" si="0"/>
        <v>1634.2518680600199</v>
      </c>
      <c r="H36" s="3"/>
      <c r="I36" s="3"/>
      <c r="J36" s="3"/>
    </row>
    <row r="37" spans="1:10" ht="16.5">
      <c r="A37" s="12" t="s">
        <v>93</v>
      </c>
      <c r="B37" s="12" t="s">
        <v>94</v>
      </c>
      <c r="C37" s="12" t="s">
        <v>137</v>
      </c>
      <c r="D37" s="44">
        <f>SUMIFS('03_销售预算'!$O$5:$O$52,'03_销售预算'!$C$5:$C$52,A37)</f>
        <v>1634.2518680600199</v>
      </c>
      <c r="E37" s="44">
        <f t="shared" si="3"/>
        <v>294.16533625080399</v>
      </c>
      <c r="F37" s="44">
        <f>SUMIFS('03_销售预算'!$P$5:$P$52,'03_销售预算'!$C$5:$C$52,A37)*SUMIFS('01_主数据假设'!$N$6:$N$8,'01_主数据假设'!$H$6:$H$8,A37)</f>
        <v>312.55066976647902</v>
      </c>
      <c r="G37" s="44">
        <f t="shared" si="0"/>
        <v>1652.6372015756999</v>
      </c>
      <c r="H37" s="3"/>
      <c r="I37" s="3"/>
      <c r="J37" s="3"/>
    </row>
    <row r="38" spans="1:10" ht="16.5">
      <c r="A38" s="12" t="s">
        <v>93</v>
      </c>
      <c r="B38" s="12" t="s">
        <v>94</v>
      </c>
      <c r="C38" s="12" t="s">
        <v>138</v>
      </c>
      <c r="D38" s="44">
        <f>SUMIFS('03_销售预算'!$P$5:$P$52,'03_销售预算'!$C$5:$C$52,A38)</f>
        <v>1736.3926098137699</v>
      </c>
      <c r="E38" s="44">
        <f t="shared" si="3"/>
        <v>312.55066976647902</v>
      </c>
      <c r="F38" s="44">
        <f>SUMIFS('03_销售预算'!$Q$5:$Q$52,'03_销售预算'!$C$5:$C$52,A38)*SUMIFS('01_主数据假设'!$N$6:$N$8,'01_主数据假设'!$H$6:$H$8,A38)</f>
        <v>330.93600328215399</v>
      </c>
      <c r="G38" s="44">
        <f t="shared" si="0"/>
        <v>1754.77794332945</v>
      </c>
      <c r="H38" s="3"/>
      <c r="I38" s="3"/>
      <c r="J38" s="3"/>
    </row>
    <row r="39" spans="1:10" ht="16.5">
      <c r="A39" s="12" t="s">
        <v>93</v>
      </c>
      <c r="B39" s="12" t="s">
        <v>94</v>
      </c>
      <c r="C39" s="12" t="s">
        <v>139</v>
      </c>
      <c r="D39" s="44">
        <f>SUMIFS('03_销售预算'!$Q$5:$Q$52,'03_销售预算'!$C$5:$C$52,A39)</f>
        <v>1838.53335156752</v>
      </c>
      <c r="E39" s="44">
        <f t="shared" si="3"/>
        <v>330.93600328215399</v>
      </c>
      <c r="F39" s="44">
        <f>SUMIFS('03_销售预算'!$R$5:$R$52,'03_销售预算'!$C$5:$C$52,A39)*SUMIFS('01_主数据假设'!$N$6:$N$8,'01_主数据假设'!$H$6:$H$8,A39)</f>
        <v>404.47733734485502</v>
      </c>
      <c r="G39" s="44">
        <f t="shared" si="0"/>
        <v>1912.0746856302201</v>
      </c>
      <c r="H39" s="3"/>
      <c r="I39" s="3"/>
      <c r="J39" s="3"/>
    </row>
    <row r="40" spans="1:10" ht="16.5">
      <c r="A40" s="12" t="s">
        <v>93</v>
      </c>
      <c r="B40" s="12" t="s">
        <v>94</v>
      </c>
      <c r="C40" s="12" t="s">
        <v>140</v>
      </c>
      <c r="D40" s="44">
        <f>SUMIFS('03_销售预算'!$R$5:$R$52,'03_销售预算'!$C$5:$C$52,A40)</f>
        <v>2247.0963185825299</v>
      </c>
      <c r="E40" s="44">
        <f t="shared" si="3"/>
        <v>404.47733734485502</v>
      </c>
      <c r="F40" s="44">
        <f>SUMIFS('03_销售预算'!$S$5:$S$52,'03_销售预算'!$C$5:$C$52,A40)*SUMIFS('01_主数据假设'!$N$6:$N$8,'01_主数据假设'!$H$6:$H$8,A40)</f>
        <v>459.63333789188101</v>
      </c>
      <c r="G40" s="44">
        <f t="shared" si="0"/>
        <v>2302.25231912955</v>
      </c>
      <c r="H40" s="3"/>
      <c r="I40" s="3"/>
      <c r="J40" s="3"/>
    </row>
    <row r="41" spans="1:10" ht="16.5">
      <c r="A41" s="12" t="s">
        <v>93</v>
      </c>
      <c r="B41" s="12" t="s">
        <v>94</v>
      </c>
      <c r="C41" s="12" t="s">
        <v>141</v>
      </c>
      <c r="D41" s="44">
        <f>SUMIFS('03_销售预算'!$S$5:$S$52,'03_销售预算'!$C$5:$C$52,A41)</f>
        <v>2553.5185438437802</v>
      </c>
      <c r="E41" s="44">
        <f t="shared" si="3"/>
        <v>459.63333789188101</v>
      </c>
      <c r="F41" s="44">
        <f>D41*0.1</f>
        <v>255.35185438437799</v>
      </c>
      <c r="G41" s="44">
        <f t="shared" si="0"/>
        <v>2349.2370603362801</v>
      </c>
      <c r="H41" s="3"/>
      <c r="I41" s="3"/>
      <c r="J41" s="3"/>
    </row>
    <row r="42" spans="1:10" ht="16.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6.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24" customHeight="1">
      <c r="A44" s="68" t="s">
        <v>235</v>
      </c>
      <c r="B44" s="68"/>
      <c r="C44" s="68"/>
      <c r="D44" s="68"/>
      <c r="E44" s="68"/>
      <c r="F44" s="68"/>
      <c r="G44" s="68"/>
      <c r="H44" s="68"/>
      <c r="I44" s="68"/>
      <c r="J44" s="68"/>
    </row>
    <row r="45" spans="1:10" ht="16.5">
      <c r="A45" s="4" t="s">
        <v>230</v>
      </c>
      <c r="B45" s="5" t="s">
        <v>71</v>
      </c>
      <c r="C45" s="5" t="s">
        <v>194</v>
      </c>
      <c r="D45" s="5" t="s">
        <v>149</v>
      </c>
      <c r="E45" s="5" t="s">
        <v>150</v>
      </c>
      <c r="F45" s="5" t="s">
        <v>236</v>
      </c>
      <c r="G45" s="5" t="s">
        <v>237</v>
      </c>
      <c r="H45" s="5" t="s">
        <v>238</v>
      </c>
      <c r="I45" s="5" t="s">
        <v>151</v>
      </c>
      <c r="J45" s="6" t="s">
        <v>239</v>
      </c>
    </row>
    <row r="46" spans="1:10" ht="14.5">
      <c r="A46" s="10" t="s">
        <v>130</v>
      </c>
      <c r="B46" s="10" t="s">
        <v>82</v>
      </c>
      <c r="C46" s="10" t="s">
        <v>83</v>
      </c>
      <c r="D46" s="10" t="s">
        <v>159</v>
      </c>
      <c r="E46" s="10" t="s">
        <v>160</v>
      </c>
      <c r="F46" s="46">
        <v>1</v>
      </c>
      <c r="G46" s="20">
        <v>0.01</v>
      </c>
      <c r="H46" s="42">
        <f t="shared" ref="H46:H109" si="4">SUMIFS($G$6:$G$41,$A$6:$A$41,B46,$C$6:$C$41,A46)*F46*(1+G46)</f>
        <v>3048.3111059723701</v>
      </c>
      <c r="I46" s="47">
        <v>210</v>
      </c>
      <c r="J46" s="40">
        <f t="shared" ref="J46:J109" si="5">H46*I46/10000</f>
        <v>64.014533225419797</v>
      </c>
    </row>
    <row r="47" spans="1:10" ht="14.5">
      <c r="A47" s="12" t="s">
        <v>130</v>
      </c>
      <c r="B47" s="12" t="s">
        <v>82</v>
      </c>
      <c r="C47" s="12" t="s">
        <v>83</v>
      </c>
      <c r="D47" s="12" t="s">
        <v>165</v>
      </c>
      <c r="E47" s="12" t="s">
        <v>166</v>
      </c>
      <c r="F47" s="48">
        <v>1</v>
      </c>
      <c r="G47" s="23">
        <v>0.02</v>
      </c>
      <c r="H47" s="44">
        <f t="shared" si="4"/>
        <v>3078.4924040513001</v>
      </c>
      <c r="I47" s="49">
        <v>95</v>
      </c>
      <c r="J47" s="41">
        <f t="shared" si="5"/>
        <v>29.245677838487399</v>
      </c>
    </row>
    <row r="48" spans="1:10" ht="14.5">
      <c r="A48" s="12" t="s">
        <v>130</v>
      </c>
      <c r="B48" s="12" t="s">
        <v>82</v>
      </c>
      <c r="C48" s="12" t="s">
        <v>83</v>
      </c>
      <c r="D48" s="12" t="s">
        <v>171</v>
      </c>
      <c r="E48" s="12" t="s">
        <v>172</v>
      </c>
      <c r="F48" s="48">
        <v>1</v>
      </c>
      <c r="G48" s="23">
        <v>1.4999999999999999E-2</v>
      </c>
      <c r="H48" s="44">
        <f t="shared" si="4"/>
        <v>3063.4017550118401</v>
      </c>
      <c r="I48" s="49">
        <v>88</v>
      </c>
      <c r="J48" s="41">
        <f t="shared" si="5"/>
        <v>26.957935444104201</v>
      </c>
    </row>
    <row r="49" spans="1:10" ht="14.5">
      <c r="A49" s="12" t="s">
        <v>130</v>
      </c>
      <c r="B49" s="12" t="s">
        <v>82</v>
      </c>
      <c r="C49" s="12" t="s">
        <v>83</v>
      </c>
      <c r="D49" s="12" t="s">
        <v>188</v>
      </c>
      <c r="E49" s="12" t="s">
        <v>189</v>
      </c>
      <c r="F49" s="48">
        <v>1</v>
      </c>
      <c r="G49" s="23">
        <v>0.01</v>
      </c>
      <c r="H49" s="44">
        <f t="shared" si="4"/>
        <v>3048.3111059723701</v>
      </c>
      <c r="I49" s="49">
        <v>28</v>
      </c>
      <c r="J49" s="41">
        <f t="shared" si="5"/>
        <v>8.5352710967226404</v>
      </c>
    </row>
    <row r="50" spans="1:10" ht="14.5">
      <c r="A50" s="12" t="s">
        <v>130</v>
      </c>
      <c r="B50" s="12" t="s">
        <v>88</v>
      </c>
      <c r="C50" s="12" t="s">
        <v>89</v>
      </c>
      <c r="D50" s="12" t="s">
        <v>159</v>
      </c>
      <c r="E50" s="12" t="s">
        <v>160</v>
      </c>
      <c r="F50" s="48">
        <v>1</v>
      </c>
      <c r="G50" s="23">
        <v>0.01</v>
      </c>
      <c r="H50" s="44">
        <f t="shared" si="4"/>
        <v>3854.0451733324198</v>
      </c>
      <c r="I50" s="49">
        <v>210</v>
      </c>
      <c r="J50" s="41">
        <f t="shared" si="5"/>
        <v>80.934948639980803</v>
      </c>
    </row>
    <row r="51" spans="1:10" ht="14.5">
      <c r="A51" s="12" t="s">
        <v>130</v>
      </c>
      <c r="B51" s="12" t="s">
        <v>88</v>
      </c>
      <c r="C51" s="12" t="s">
        <v>89</v>
      </c>
      <c r="D51" s="12" t="s">
        <v>171</v>
      </c>
      <c r="E51" s="12" t="s">
        <v>172</v>
      </c>
      <c r="F51" s="48">
        <v>1</v>
      </c>
      <c r="G51" s="23">
        <v>1.4999999999999999E-2</v>
      </c>
      <c r="H51" s="44">
        <f t="shared" si="4"/>
        <v>3873.1246048835701</v>
      </c>
      <c r="I51" s="49">
        <v>88</v>
      </c>
      <c r="J51" s="41">
        <f t="shared" si="5"/>
        <v>34.083496522975402</v>
      </c>
    </row>
    <row r="52" spans="1:10" ht="14.5">
      <c r="A52" s="12" t="s">
        <v>130</v>
      </c>
      <c r="B52" s="12" t="s">
        <v>88</v>
      </c>
      <c r="C52" s="12" t="s">
        <v>89</v>
      </c>
      <c r="D52" s="12" t="s">
        <v>176</v>
      </c>
      <c r="E52" s="12" t="s">
        <v>177</v>
      </c>
      <c r="F52" s="48">
        <v>1</v>
      </c>
      <c r="G52" s="23">
        <v>0.02</v>
      </c>
      <c r="H52" s="44">
        <f t="shared" si="4"/>
        <v>3892.2040364347199</v>
      </c>
      <c r="I52" s="49">
        <v>72</v>
      </c>
      <c r="J52" s="41">
        <f t="shared" si="5"/>
        <v>28.02386906233</v>
      </c>
    </row>
    <row r="53" spans="1:10" ht="14.5">
      <c r="A53" s="12" t="s">
        <v>130</v>
      </c>
      <c r="B53" s="12" t="s">
        <v>88</v>
      </c>
      <c r="C53" s="12" t="s">
        <v>89</v>
      </c>
      <c r="D53" s="12" t="s">
        <v>179</v>
      </c>
      <c r="E53" s="12" t="s">
        <v>180</v>
      </c>
      <c r="F53" s="48">
        <v>1</v>
      </c>
      <c r="G53" s="23">
        <v>0.02</v>
      </c>
      <c r="H53" s="44">
        <f t="shared" si="4"/>
        <v>3892.2040364347199</v>
      </c>
      <c r="I53" s="49">
        <v>65</v>
      </c>
      <c r="J53" s="41">
        <f t="shared" si="5"/>
        <v>25.299326236825699</v>
      </c>
    </row>
    <row r="54" spans="1:10" ht="14.5">
      <c r="A54" s="12" t="s">
        <v>130</v>
      </c>
      <c r="B54" s="12" t="s">
        <v>88</v>
      </c>
      <c r="C54" s="12" t="s">
        <v>89</v>
      </c>
      <c r="D54" s="12" t="s">
        <v>188</v>
      </c>
      <c r="E54" s="12" t="s">
        <v>189</v>
      </c>
      <c r="F54" s="48">
        <v>1</v>
      </c>
      <c r="G54" s="23">
        <v>0.01</v>
      </c>
      <c r="H54" s="44">
        <f t="shared" si="4"/>
        <v>3854.0451733324198</v>
      </c>
      <c r="I54" s="49">
        <v>28</v>
      </c>
      <c r="J54" s="41">
        <f t="shared" si="5"/>
        <v>10.791326485330799</v>
      </c>
    </row>
    <row r="55" spans="1:10" ht="14.5">
      <c r="A55" s="12" t="s">
        <v>130</v>
      </c>
      <c r="B55" s="12" t="s">
        <v>93</v>
      </c>
      <c r="C55" s="12" t="s">
        <v>94</v>
      </c>
      <c r="D55" s="12" t="s">
        <v>171</v>
      </c>
      <c r="E55" s="12" t="s">
        <v>172</v>
      </c>
      <c r="F55" s="48">
        <v>1</v>
      </c>
      <c r="G55" s="23">
        <v>1.4999999999999999E-2</v>
      </c>
      <c r="H55" s="44">
        <f t="shared" si="4"/>
        <v>1501.1829097032301</v>
      </c>
      <c r="I55" s="49">
        <v>88</v>
      </c>
      <c r="J55" s="41">
        <f t="shared" si="5"/>
        <v>13.210409605388501</v>
      </c>
    </row>
    <row r="56" spans="1:10" ht="14.5">
      <c r="A56" s="12" t="s">
        <v>130</v>
      </c>
      <c r="B56" s="12" t="s">
        <v>93</v>
      </c>
      <c r="C56" s="12" t="s">
        <v>94</v>
      </c>
      <c r="D56" s="12" t="s">
        <v>183</v>
      </c>
      <c r="E56" s="12" t="s">
        <v>184</v>
      </c>
      <c r="F56" s="48">
        <v>1</v>
      </c>
      <c r="G56" s="23">
        <v>0.02</v>
      </c>
      <c r="H56" s="44">
        <f t="shared" si="4"/>
        <v>1508.57789940621</v>
      </c>
      <c r="I56" s="49">
        <v>185</v>
      </c>
      <c r="J56" s="41">
        <f t="shared" si="5"/>
        <v>27.908691139014799</v>
      </c>
    </row>
    <row r="57" spans="1:10" ht="14.5">
      <c r="A57" s="12" t="s">
        <v>130</v>
      </c>
      <c r="B57" s="12" t="s">
        <v>93</v>
      </c>
      <c r="C57" s="12" t="s">
        <v>94</v>
      </c>
      <c r="D57" s="12" t="s">
        <v>186</v>
      </c>
      <c r="E57" s="12" t="s">
        <v>187</v>
      </c>
      <c r="F57" s="48">
        <v>1</v>
      </c>
      <c r="G57" s="23">
        <v>0.02</v>
      </c>
      <c r="H57" s="44">
        <f t="shared" si="4"/>
        <v>1508.57789940621</v>
      </c>
      <c r="I57" s="49">
        <v>128</v>
      </c>
      <c r="J57" s="41">
        <f t="shared" si="5"/>
        <v>19.309797112399401</v>
      </c>
    </row>
    <row r="58" spans="1:10" ht="14.5">
      <c r="A58" s="12" t="s">
        <v>130</v>
      </c>
      <c r="B58" s="12" t="s">
        <v>93</v>
      </c>
      <c r="C58" s="12" t="s">
        <v>94</v>
      </c>
      <c r="D58" s="12" t="s">
        <v>188</v>
      </c>
      <c r="E58" s="12" t="s">
        <v>189</v>
      </c>
      <c r="F58" s="48">
        <v>1</v>
      </c>
      <c r="G58" s="23">
        <v>0.01</v>
      </c>
      <c r="H58" s="44">
        <f t="shared" si="4"/>
        <v>1493.7879200002601</v>
      </c>
      <c r="I58" s="49">
        <v>28</v>
      </c>
      <c r="J58" s="41">
        <f t="shared" si="5"/>
        <v>4.1826061760007303</v>
      </c>
    </row>
    <row r="59" spans="1:10" ht="14.5">
      <c r="A59" s="12" t="s">
        <v>131</v>
      </c>
      <c r="B59" s="12" t="s">
        <v>82</v>
      </c>
      <c r="C59" s="12" t="s">
        <v>83</v>
      </c>
      <c r="D59" s="12" t="s">
        <v>159</v>
      </c>
      <c r="E59" s="12" t="s">
        <v>160</v>
      </c>
      <c r="F59" s="48">
        <v>1</v>
      </c>
      <c r="G59" s="23">
        <v>0.01</v>
      </c>
      <c r="H59" s="44">
        <f t="shared" si="4"/>
        <v>2655.3984846643202</v>
      </c>
      <c r="I59" s="49">
        <v>210</v>
      </c>
      <c r="J59" s="41">
        <f t="shared" si="5"/>
        <v>55.763368177950703</v>
      </c>
    </row>
    <row r="60" spans="1:10" ht="14.5">
      <c r="A60" s="12" t="s">
        <v>131</v>
      </c>
      <c r="B60" s="12" t="s">
        <v>82</v>
      </c>
      <c r="C60" s="12" t="s">
        <v>83</v>
      </c>
      <c r="D60" s="12" t="s">
        <v>165</v>
      </c>
      <c r="E60" s="12" t="s">
        <v>166</v>
      </c>
      <c r="F60" s="48">
        <v>1</v>
      </c>
      <c r="G60" s="23">
        <v>0.02</v>
      </c>
      <c r="H60" s="44">
        <f t="shared" si="4"/>
        <v>2681.6895587699</v>
      </c>
      <c r="I60" s="49">
        <v>95</v>
      </c>
      <c r="J60" s="41">
        <f t="shared" si="5"/>
        <v>25.476050808314099</v>
      </c>
    </row>
    <row r="61" spans="1:10" ht="14.5">
      <c r="A61" s="12" t="s">
        <v>131</v>
      </c>
      <c r="B61" s="12" t="s">
        <v>82</v>
      </c>
      <c r="C61" s="12" t="s">
        <v>83</v>
      </c>
      <c r="D61" s="12" t="s">
        <v>171</v>
      </c>
      <c r="E61" s="12" t="s">
        <v>172</v>
      </c>
      <c r="F61" s="48">
        <v>1</v>
      </c>
      <c r="G61" s="23">
        <v>1.4999999999999999E-2</v>
      </c>
      <c r="H61" s="44">
        <f t="shared" si="4"/>
        <v>2668.5440217171099</v>
      </c>
      <c r="I61" s="49">
        <v>88</v>
      </c>
      <c r="J61" s="41">
        <f t="shared" si="5"/>
        <v>23.483187391110601</v>
      </c>
    </row>
    <row r="62" spans="1:10" ht="14.5">
      <c r="A62" s="12" t="s">
        <v>131</v>
      </c>
      <c r="B62" s="12" t="s">
        <v>82</v>
      </c>
      <c r="C62" s="12" t="s">
        <v>83</v>
      </c>
      <c r="D62" s="12" t="s">
        <v>188</v>
      </c>
      <c r="E62" s="12" t="s">
        <v>189</v>
      </c>
      <c r="F62" s="48">
        <v>1</v>
      </c>
      <c r="G62" s="23">
        <v>0.01</v>
      </c>
      <c r="H62" s="44">
        <f t="shared" si="4"/>
        <v>2655.3984846643202</v>
      </c>
      <c r="I62" s="49">
        <v>28</v>
      </c>
      <c r="J62" s="41">
        <f t="shared" si="5"/>
        <v>7.4351157570600899</v>
      </c>
    </row>
    <row r="63" spans="1:10" ht="14.5">
      <c r="A63" s="12" t="s">
        <v>131</v>
      </c>
      <c r="B63" s="12" t="s">
        <v>88</v>
      </c>
      <c r="C63" s="12" t="s">
        <v>89</v>
      </c>
      <c r="D63" s="12" t="s">
        <v>159</v>
      </c>
      <c r="E63" s="12" t="s">
        <v>160</v>
      </c>
      <c r="F63" s="48">
        <v>1</v>
      </c>
      <c r="G63" s="23">
        <v>0.01</v>
      </c>
      <c r="H63" s="44">
        <f t="shared" si="4"/>
        <v>3357.2773110473599</v>
      </c>
      <c r="I63" s="49">
        <v>210</v>
      </c>
      <c r="J63" s="41">
        <f t="shared" si="5"/>
        <v>70.502823531994594</v>
      </c>
    </row>
    <row r="64" spans="1:10" ht="14.5">
      <c r="A64" s="12" t="s">
        <v>131</v>
      </c>
      <c r="B64" s="12" t="s">
        <v>88</v>
      </c>
      <c r="C64" s="12" t="s">
        <v>89</v>
      </c>
      <c r="D64" s="12" t="s">
        <v>171</v>
      </c>
      <c r="E64" s="12" t="s">
        <v>172</v>
      </c>
      <c r="F64" s="48">
        <v>1</v>
      </c>
      <c r="G64" s="23">
        <v>1.4999999999999999E-2</v>
      </c>
      <c r="H64" s="44">
        <f t="shared" si="4"/>
        <v>3373.8974957555201</v>
      </c>
      <c r="I64" s="49">
        <v>88</v>
      </c>
      <c r="J64" s="41">
        <f t="shared" si="5"/>
        <v>29.6902979626486</v>
      </c>
    </row>
    <row r="65" spans="1:10" ht="14.5">
      <c r="A65" s="12" t="s">
        <v>131</v>
      </c>
      <c r="B65" s="12" t="s">
        <v>88</v>
      </c>
      <c r="C65" s="12" t="s">
        <v>89</v>
      </c>
      <c r="D65" s="12" t="s">
        <v>176</v>
      </c>
      <c r="E65" s="12" t="s">
        <v>177</v>
      </c>
      <c r="F65" s="48">
        <v>1</v>
      </c>
      <c r="G65" s="23">
        <v>0.02</v>
      </c>
      <c r="H65" s="44">
        <f t="shared" si="4"/>
        <v>3390.5176804636699</v>
      </c>
      <c r="I65" s="49">
        <v>72</v>
      </c>
      <c r="J65" s="41">
        <f t="shared" si="5"/>
        <v>24.411727299338398</v>
      </c>
    </row>
    <row r="66" spans="1:10" ht="14.5">
      <c r="A66" s="12" t="s">
        <v>131</v>
      </c>
      <c r="B66" s="12" t="s">
        <v>88</v>
      </c>
      <c r="C66" s="12" t="s">
        <v>89</v>
      </c>
      <c r="D66" s="12" t="s">
        <v>179</v>
      </c>
      <c r="E66" s="12" t="s">
        <v>180</v>
      </c>
      <c r="F66" s="48">
        <v>1</v>
      </c>
      <c r="G66" s="23">
        <v>0.02</v>
      </c>
      <c r="H66" s="44">
        <f t="shared" si="4"/>
        <v>3390.5176804636699</v>
      </c>
      <c r="I66" s="49">
        <v>65</v>
      </c>
      <c r="J66" s="41">
        <f t="shared" si="5"/>
        <v>22.038364923013901</v>
      </c>
    </row>
    <row r="67" spans="1:10" ht="14.5">
      <c r="A67" s="12" t="s">
        <v>131</v>
      </c>
      <c r="B67" s="12" t="s">
        <v>88</v>
      </c>
      <c r="C67" s="12" t="s">
        <v>89</v>
      </c>
      <c r="D67" s="12" t="s">
        <v>188</v>
      </c>
      <c r="E67" s="12" t="s">
        <v>189</v>
      </c>
      <c r="F67" s="48">
        <v>1</v>
      </c>
      <c r="G67" s="23">
        <v>0.01</v>
      </c>
      <c r="H67" s="44">
        <f t="shared" si="4"/>
        <v>3357.2773110473599</v>
      </c>
      <c r="I67" s="49">
        <v>28</v>
      </c>
      <c r="J67" s="41">
        <f t="shared" si="5"/>
        <v>9.4003764709326205</v>
      </c>
    </row>
    <row r="68" spans="1:10" ht="14.5">
      <c r="A68" s="12" t="s">
        <v>131</v>
      </c>
      <c r="B68" s="12" t="s">
        <v>93</v>
      </c>
      <c r="C68" s="12" t="s">
        <v>94</v>
      </c>
      <c r="D68" s="12" t="s">
        <v>171</v>
      </c>
      <c r="E68" s="12" t="s">
        <v>172</v>
      </c>
      <c r="F68" s="48">
        <v>1</v>
      </c>
      <c r="G68" s="23">
        <v>1.4999999999999999E-2</v>
      </c>
      <c r="H68" s="44">
        <f t="shared" si="4"/>
        <v>1281.3964615975101</v>
      </c>
      <c r="I68" s="49">
        <v>88</v>
      </c>
      <c r="J68" s="41">
        <f t="shared" si="5"/>
        <v>11.276288862058101</v>
      </c>
    </row>
    <row r="69" spans="1:10" ht="14.5">
      <c r="A69" s="12" t="s">
        <v>131</v>
      </c>
      <c r="B69" s="12" t="s">
        <v>93</v>
      </c>
      <c r="C69" s="12" t="s">
        <v>94</v>
      </c>
      <c r="D69" s="12" t="s">
        <v>183</v>
      </c>
      <c r="E69" s="12" t="s">
        <v>184</v>
      </c>
      <c r="F69" s="48">
        <v>1</v>
      </c>
      <c r="G69" s="23">
        <v>0.02</v>
      </c>
      <c r="H69" s="44">
        <f t="shared" si="4"/>
        <v>1287.70875943789</v>
      </c>
      <c r="I69" s="49">
        <v>185</v>
      </c>
      <c r="J69" s="41">
        <f t="shared" si="5"/>
        <v>23.822612049600998</v>
      </c>
    </row>
    <row r="70" spans="1:10" ht="14.5">
      <c r="A70" s="12" t="s">
        <v>131</v>
      </c>
      <c r="B70" s="12" t="s">
        <v>93</v>
      </c>
      <c r="C70" s="12" t="s">
        <v>94</v>
      </c>
      <c r="D70" s="12" t="s">
        <v>186</v>
      </c>
      <c r="E70" s="12" t="s">
        <v>187</v>
      </c>
      <c r="F70" s="48">
        <v>1</v>
      </c>
      <c r="G70" s="23">
        <v>0.02</v>
      </c>
      <c r="H70" s="44">
        <f t="shared" si="4"/>
        <v>1287.70875943789</v>
      </c>
      <c r="I70" s="49">
        <v>128</v>
      </c>
      <c r="J70" s="41">
        <f t="shared" si="5"/>
        <v>16.482672120804999</v>
      </c>
    </row>
    <row r="71" spans="1:10" ht="14.5">
      <c r="A71" s="12" t="s">
        <v>131</v>
      </c>
      <c r="B71" s="12" t="s">
        <v>93</v>
      </c>
      <c r="C71" s="12" t="s">
        <v>94</v>
      </c>
      <c r="D71" s="12" t="s">
        <v>188</v>
      </c>
      <c r="E71" s="12" t="s">
        <v>189</v>
      </c>
      <c r="F71" s="48">
        <v>1</v>
      </c>
      <c r="G71" s="23">
        <v>0.01</v>
      </c>
      <c r="H71" s="44">
        <f t="shared" si="4"/>
        <v>1275.08416375713</v>
      </c>
      <c r="I71" s="49">
        <v>28</v>
      </c>
      <c r="J71" s="41">
        <f t="shared" si="5"/>
        <v>3.5702356585199602</v>
      </c>
    </row>
    <row r="72" spans="1:10" ht="14.5">
      <c r="A72" s="12" t="s">
        <v>132</v>
      </c>
      <c r="B72" s="12" t="s">
        <v>82</v>
      </c>
      <c r="C72" s="12" t="s">
        <v>83</v>
      </c>
      <c r="D72" s="12" t="s">
        <v>159</v>
      </c>
      <c r="E72" s="12" t="s">
        <v>160</v>
      </c>
      <c r="F72" s="48">
        <v>1</v>
      </c>
      <c r="G72" s="23">
        <v>0.01</v>
      </c>
      <c r="H72" s="44">
        <f t="shared" si="4"/>
        <v>3054.7876876422802</v>
      </c>
      <c r="I72" s="49">
        <v>210</v>
      </c>
      <c r="J72" s="41">
        <f t="shared" si="5"/>
        <v>64.150541440487899</v>
      </c>
    </row>
    <row r="73" spans="1:10" ht="14.5">
      <c r="A73" s="12" t="s">
        <v>132</v>
      </c>
      <c r="B73" s="12" t="s">
        <v>82</v>
      </c>
      <c r="C73" s="12" t="s">
        <v>83</v>
      </c>
      <c r="D73" s="12" t="s">
        <v>165</v>
      </c>
      <c r="E73" s="12" t="s">
        <v>166</v>
      </c>
      <c r="F73" s="48">
        <v>1</v>
      </c>
      <c r="G73" s="23">
        <v>0.02</v>
      </c>
      <c r="H73" s="44">
        <f t="shared" si="4"/>
        <v>3085.03311029221</v>
      </c>
      <c r="I73" s="49">
        <v>95</v>
      </c>
      <c r="J73" s="41">
        <f t="shared" si="5"/>
        <v>29.307814547776001</v>
      </c>
    </row>
    <row r="74" spans="1:10" ht="14.5">
      <c r="A74" s="12" t="s">
        <v>132</v>
      </c>
      <c r="B74" s="12" t="s">
        <v>82</v>
      </c>
      <c r="C74" s="12" t="s">
        <v>83</v>
      </c>
      <c r="D74" s="12" t="s">
        <v>171</v>
      </c>
      <c r="E74" s="12" t="s">
        <v>172</v>
      </c>
      <c r="F74" s="48">
        <v>1</v>
      </c>
      <c r="G74" s="23">
        <v>1.4999999999999999E-2</v>
      </c>
      <c r="H74" s="44">
        <f t="shared" si="4"/>
        <v>3069.9103989672399</v>
      </c>
      <c r="I74" s="49">
        <v>88</v>
      </c>
      <c r="J74" s="41">
        <f t="shared" si="5"/>
        <v>27.015211510911801</v>
      </c>
    </row>
    <row r="75" spans="1:10" ht="14.5">
      <c r="A75" s="12" t="s">
        <v>132</v>
      </c>
      <c r="B75" s="12" t="s">
        <v>82</v>
      </c>
      <c r="C75" s="12" t="s">
        <v>83</v>
      </c>
      <c r="D75" s="12" t="s">
        <v>188</v>
      </c>
      <c r="E75" s="12" t="s">
        <v>189</v>
      </c>
      <c r="F75" s="48">
        <v>1</v>
      </c>
      <c r="G75" s="23">
        <v>0.01</v>
      </c>
      <c r="H75" s="44">
        <f t="shared" si="4"/>
        <v>3054.7876876422802</v>
      </c>
      <c r="I75" s="49">
        <v>28</v>
      </c>
      <c r="J75" s="41">
        <f t="shared" si="5"/>
        <v>8.5534055253983894</v>
      </c>
    </row>
    <row r="76" spans="1:10" ht="14.5">
      <c r="A76" s="12" t="s">
        <v>132</v>
      </c>
      <c r="B76" s="12" t="s">
        <v>88</v>
      </c>
      <c r="C76" s="12" t="s">
        <v>89</v>
      </c>
      <c r="D76" s="12" t="s">
        <v>159</v>
      </c>
      <c r="E76" s="12" t="s">
        <v>160</v>
      </c>
      <c r="F76" s="48">
        <v>1</v>
      </c>
      <c r="G76" s="23">
        <v>0.01</v>
      </c>
      <c r="H76" s="44">
        <f t="shared" si="4"/>
        <v>3862.2336545788799</v>
      </c>
      <c r="I76" s="49">
        <v>210</v>
      </c>
      <c r="J76" s="41">
        <f t="shared" si="5"/>
        <v>81.106906746156398</v>
      </c>
    </row>
    <row r="77" spans="1:10" ht="14.5">
      <c r="A77" s="12" t="s">
        <v>132</v>
      </c>
      <c r="B77" s="12" t="s">
        <v>88</v>
      </c>
      <c r="C77" s="12" t="s">
        <v>89</v>
      </c>
      <c r="D77" s="12" t="s">
        <v>171</v>
      </c>
      <c r="E77" s="12" t="s">
        <v>172</v>
      </c>
      <c r="F77" s="48">
        <v>1</v>
      </c>
      <c r="G77" s="23">
        <v>1.4999999999999999E-2</v>
      </c>
      <c r="H77" s="44">
        <f t="shared" si="4"/>
        <v>3881.3536231659</v>
      </c>
      <c r="I77" s="49">
        <v>88</v>
      </c>
      <c r="J77" s="41">
        <f t="shared" si="5"/>
        <v>34.155911883859901</v>
      </c>
    </row>
    <row r="78" spans="1:10" ht="14.5">
      <c r="A78" s="12" t="s">
        <v>132</v>
      </c>
      <c r="B78" s="12" t="s">
        <v>88</v>
      </c>
      <c r="C78" s="12" t="s">
        <v>89</v>
      </c>
      <c r="D78" s="12" t="s">
        <v>176</v>
      </c>
      <c r="E78" s="12" t="s">
        <v>177</v>
      </c>
      <c r="F78" s="48">
        <v>1</v>
      </c>
      <c r="G78" s="23">
        <v>0.02</v>
      </c>
      <c r="H78" s="44">
        <f t="shared" si="4"/>
        <v>3900.4735917529201</v>
      </c>
      <c r="I78" s="49">
        <v>72</v>
      </c>
      <c r="J78" s="41">
        <f t="shared" si="5"/>
        <v>28.083409860621099</v>
      </c>
    </row>
    <row r="79" spans="1:10" ht="14.5">
      <c r="A79" s="12" t="s">
        <v>132</v>
      </c>
      <c r="B79" s="12" t="s">
        <v>88</v>
      </c>
      <c r="C79" s="12" t="s">
        <v>89</v>
      </c>
      <c r="D79" s="12" t="s">
        <v>179</v>
      </c>
      <c r="E79" s="12" t="s">
        <v>180</v>
      </c>
      <c r="F79" s="48">
        <v>1</v>
      </c>
      <c r="G79" s="23">
        <v>0.02</v>
      </c>
      <c r="H79" s="44">
        <f t="shared" si="4"/>
        <v>3900.4735917529201</v>
      </c>
      <c r="I79" s="49">
        <v>65</v>
      </c>
      <c r="J79" s="41">
        <f t="shared" si="5"/>
        <v>25.353078346394</v>
      </c>
    </row>
    <row r="80" spans="1:10" ht="14.5">
      <c r="A80" s="12" t="s">
        <v>132</v>
      </c>
      <c r="B80" s="12" t="s">
        <v>88</v>
      </c>
      <c r="C80" s="12" t="s">
        <v>89</v>
      </c>
      <c r="D80" s="12" t="s">
        <v>188</v>
      </c>
      <c r="E80" s="12" t="s">
        <v>189</v>
      </c>
      <c r="F80" s="48">
        <v>1</v>
      </c>
      <c r="G80" s="23">
        <v>0.01</v>
      </c>
      <c r="H80" s="44">
        <f t="shared" si="4"/>
        <v>3862.2336545788799</v>
      </c>
      <c r="I80" s="49">
        <v>28</v>
      </c>
      <c r="J80" s="41">
        <f t="shared" si="5"/>
        <v>10.8142542328209</v>
      </c>
    </row>
    <row r="81" spans="1:10" ht="14.5">
      <c r="A81" s="12" t="s">
        <v>132</v>
      </c>
      <c r="B81" s="12" t="s">
        <v>93</v>
      </c>
      <c r="C81" s="12" t="s">
        <v>94</v>
      </c>
      <c r="D81" s="12" t="s">
        <v>171</v>
      </c>
      <c r="E81" s="12" t="s">
        <v>172</v>
      </c>
      <c r="F81" s="48">
        <v>1</v>
      </c>
      <c r="G81" s="23">
        <v>1.4999999999999999E-2</v>
      </c>
      <c r="H81" s="44">
        <f t="shared" si="4"/>
        <v>1470.08105383922</v>
      </c>
      <c r="I81" s="49">
        <v>88</v>
      </c>
      <c r="J81" s="41">
        <f t="shared" si="5"/>
        <v>12.9367132737851</v>
      </c>
    </row>
    <row r="82" spans="1:10" ht="14.5">
      <c r="A82" s="12" t="s">
        <v>132</v>
      </c>
      <c r="B82" s="12" t="s">
        <v>93</v>
      </c>
      <c r="C82" s="12" t="s">
        <v>94</v>
      </c>
      <c r="D82" s="12" t="s">
        <v>183</v>
      </c>
      <c r="E82" s="12" t="s">
        <v>184</v>
      </c>
      <c r="F82" s="48">
        <v>1</v>
      </c>
      <c r="G82" s="23">
        <v>0.02</v>
      </c>
      <c r="H82" s="44">
        <f t="shared" si="4"/>
        <v>1477.3228324295601</v>
      </c>
      <c r="I82" s="49">
        <v>185</v>
      </c>
      <c r="J82" s="41">
        <f t="shared" si="5"/>
        <v>27.3304723999468</v>
      </c>
    </row>
    <row r="83" spans="1:10" ht="14.5">
      <c r="A83" s="12" t="s">
        <v>132</v>
      </c>
      <c r="B83" s="12" t="s">
        <v>93</v>
      </c>
      <c r="C83" s="12" t="s">
        <v>94</v>
      </c>
      <c r="D83" s="12" t="s">
        <v>186</v>
      </c>
      <c r="E83" s="12" t="s">
        <v>187</v>
      </c>
      <c r="F83" s="48">
        <v>1</v>
      </c>
      <c r="G83" s="23">
        <v>0.02</v>
      </c>
      <c r="H83" s="44">
        <f t="shared" si="4"/>
        <v>1477.3228324295601</v>
      </c>
      <c r="I83" s="49">
        <v>128</v>
      </c>
      <c r="J83" s="41">
        <f t="shared" si="5"/>
        <v>18.909732255098302</v>
      </c>
    </row>
    <row r="84" spans="1:10" ht="14.5">
      <c r="A84" s="12" t="s">
        <v>132</v>
      </c>
      <c r="B84" s="12" t="s">
        <v>93</v>
      </c>
      <c r="C84" s="12" t="s">
        <v>94</v>
      </c>
      <c r="D84" s="12" t="s">
        <v>188</v>
      </c>
      <c r="E84" s="12" t="s">
        <v>189</v>
      </c>
      <c r="F84" s="48">
        <v>1</v>
      </c>
      <c r="G84" s="23">
        <v>0.01</v>
      </c>
      <c r="H84" s="44">
        <f t="shared" si="4"/>
        <v>1462.8392752488801</v>
      </c>
      <c r="I84" s="49">
        <v>28</v>
      </c>
      <c r="J84" s="41">
        <f t="shared" si="5"/>
        <v>4.0959499706968501</v>
      </c>
    </row>
    <row r="85" spans="1:10" ht="14.5">
      <c r="A85" s="12" t="s">
        <v>133</v>
      </c>
      <c r="B85" s="12" t="s">
        <v>82</v>
      </c>
      <c r="C85" s="12" t="s">
        <v>83</v>
      </c>
      <c r="D85" s="12" t="s">
        <v>159</v>
      </c>
      <c r="E85" s="12" t="s">
        <v>160</v>
      </c>
      <c r="F85" s="48">
        <v>1</v>
      </c>
      <c r="G85" s="23">
        <v>0.01</v>
      </c>
      <c r="H85" s="44">
        <f t="shared" si="4"/>
        <v>3238.29083495648</v>
      </c>
      <c r="I85" s="49">
        <v>210</v>
      </c>
      <c r="J85" s="41">
        <f t="shared" si="5"/>
        <v>68.004107534086103</v>
      </c>
    </row>
    <row r="86" spans="1:10" ht="14.5">
      <c r="A86" s="12" t="s">
        <v>133</v>
      </c>
      <c r="B86" s="12" t="s">
        <v>82</v>
      </c>
      <c r="C86" s="12" t="s">
        <v>83</v>
      </c>
      <c r="D86" s="12" t="s">
        <v>165</v>
      </c>
      <c r="E86" s="12" t="s">
        <v>166</v>
      </c>
      <c r="F86" s="48">
        <v>1</v>
      </c>
      <c r="G86" s="23">
        <v>0.02</v>
      </c>
      <c r="H86" s="44">
        <f t="shared" si="4"/>
        <v>3270.3531204511</v>
      </c>
      <c r="I86" s="49">
        <v>95</v>
      </c>
      <c r="J86" s="41">
        <f t="shared" si="5"/>
        <v>31.068354644285499</v>
      </c>
    </row>
    <row r="87" spans="1:10" ht="14.5">
      <c r="A87" s="12" t="s">
        <v>133</v>
      </c>
      <c r="B87" s="12" t="s">
        <v>82</v>
      </c>
      <c r="C87" s="12" t="s">
        <v>83</v>
      </c>
      <c r="D87" s="12" t="s">
        <v>171</v>
      </c>
      <c r="E87" s="12" t="s">
        <v>172</v>
      </c>
      <c r="F87" s="48">
        <v>1</v>
      </c>
      <c r="G87" s="23">
        <v>1.4999999999999999E-2</v>
      </c>
      <c r="H87" s="44">
        <f t="shared" si="4"/>
        <v>3254.3219777037898</v>
      </c>
      <c r="I87" s="49">
        <v>88</v>
      </c>
      <c r="J87" s="41">
        <f t="shared" si="5"/>
        <v>28.638033403793401</v>
      </c>
    </row>
    <row r="88" spans="1:10" ht="14.5">
      <c r="A88" s="12" t="s">
        <v>133</v>
      </c>
      <c r="B88" s="12" t="s">
        <v>82</v>
      </c>
      <c r="C88" s="12" t="s">
        <v>83</v>
      </c>
      <c r="D88" s="12" t="s">
        <v>188</v>
      </c>
      <c r="E88" s="12" t="s">
        <v>189</v>
      </c>
      <c r="F88" s="48">
        <v>1</v>
      </c>
      <c r="G88" s="23">
        <v>0.01</v>
      </c>
      <c r="H88" s="44">
        <f t="shared" si="4"/>
        <v>3238.29083495648</v>
      </c>
      <c r="I88" s="49">
        <v>28</v>
      </c>
      <c r="J88" s="41">
        <f t="shared" si="5"/>
        <v>9.0672143378781502</v>
      </c>
    </row>
    <row r="89" spans="1:10" ht="14.5">
      <c r="A89" s="12" t="s">
        <v>133</v>
      </c>
      <c r="B89" s="12" t="s">
        <v>88</v>
      </c>
      <c r="C89" s="12" t="s">
        <v>89</v>
      </c>
      <c r="D89" s="12" t="s">
        <v>159</v>
      </c>
      <c r="E89" s="12" t="s">
        <v>160</v>
      </c>
      <c r="F89" s="48">
        <v>1</v>
      </c>
      <c r="G89" s="23">
        <v>0.01</v>
      </c>
      <c r="H89" s="44">
        <f t="shared" si="4"/>
        <v>4094.2406232284902</v>
      </c>
      <c r="I89" s="49">
        <v>210</v>
      </c>
      <c r="J89" s="41">
        <f t="shared" si="5"/>
        <v>85.979053087798306</v>
      </c>
    </row>
    <row r="90" spans="1:10" ht="14.5">
      <c r="A90" s="12" t="s">
        <v>133</v>
      </c>
      <c r="B90" s="12" t="s">
        <v>88</v>
      </c>
      <c r="C90" s="12" t="s">
        <v>89</v>
      </c>
      <c r="D90" s="12" t="s">
        <v>171</v>
      </c>
      <c r="E90" s="12" t="s">
        <v>172</v>
      </c>
      <c r="F90" s="48">
        <v>1</v>
      </c>
      <c r="G90" s="23">
        <v>1.4999999999999999E-2</v>
      </c>
      <c r="H90" s="44">
        <f t="shared" si="4"/>
        <v>4114.5091411652702</v>
      </c>
      <c r="I90" s="49">
        <v>88</v>
      </c>
      <c r="J90" s="41">
        <f t="shared" si="5"/>
        <v>36.207680442254301</v>
      </c>
    </row>
    <row r="91" spans="1:10" ht="14.5">
      <c r="A91" s="12" t="s">
        <v>133</v>
      </c>
      <c r="B91" s="12" t="s">
        <v>88</v>
      </c>
      <c r="C91" s="12" t="s">
        <v>89</v>
      </c>
      <c r="D91" s="12" t="s">
        <v>176</v>
      </c>
      <c r="E91" s="12" t="s">
        <v>177</v>
      </c>
      <c r="F91" s="48">
        <v>1</v>
      </c>
      <c r="G91" s="23">
        <v>0.02</v>
      </c>
      <c r="H91" s="44">
        <f t="shared" si="4"/>
        <v>4134.7776591020402</v>
      </c>
      <c r="I91" s="49">
        <v>72</v>
      </c>
      <c r="J91" s="41">
        <f t="shared" si="5"/>
        <v>29.7703991455347</v>
      </c>
    </row>
    <row r="92" spans="1:10" ht="14.5">
      <c r="A92" s="12" t="s">
        <v>133</v>
      </c>
      <c r="B92" s="12" t="s">
        <v>88</v>
      </c>
      <c r="C92" s="12" t="s">
        <v>89</v>
      </c>
      <c r="D92" s="12" t="s">
        <v>179</v>
      </c>
      <c r="E92" s="12" t="s">
        <v>180</v>
      </c>
      <c r="F92" s="48">
        <v>1</v>
      </c>
      <c r="G92" s="23">
        <v>0.02</v>
      </c>
      <c r="H92" s="44">
        <f t="shared" si="4"/>
        <v>4134.7776591020402</v>
      </c>
      <c r="I92" s="49">
        <v>65</v>
      </c>
      <c r="J92" s="41">
        <f t="shared" si="5"/>
        <v>26.876054784163301</v>
      </c>
    </row>
    <row r="93" spans="1:10" ht="14.5">
      <c r="A93" s="12" t="s">
        <v>133</v>
      </c>
      <c r="B93" s="12" t="s">
        <v>88</v>
      </c>
      <c r="C93" s="12" t="s">
        <v>89</v>
      </c>
      <c r="D93" s="12" t="s">
        <v>188</v>
      </c>
      <c r="E93" s="12" t="s">
        <v>189</v>
      </c>
      <c r="F93" s="48">
        <v>1</v>
      </c>
      <c r="G93" s="23">
        <v>0.01</v>
      </c>
      <c r="H93" s="44">
        <f t="shared" si="4"/>
        <v>4094.2406232284902</v>
      </c>
      <c r="I93" s="49">
        <v>28</v>
      </c>
      <c r="J93" s="41">
        <f t="shared" si="5"/>
        <v>11.4638737450398</v>
      </c>
    </row>
    <row r="94" spans="1:10" ht="14.5">
      <c r="A94" s="12" t="s">
        <v>133</v>
      </c>
      <c r="B94" s="12" t="s">
        <v>93</v>
      </c>
      <c r="C94" s="12" t="s">
        <v>94</v>
      </c>
      <c r="D94" s="12" t="s">
        <v>171</v>
      </c>
      <c r="E94" s="12" t="s">
        <v>172</v>
      </c>
      <c r="F94" s="48">
        <v>1</v>
      </c>
      <c r="G94" s="23">
        <v>1.4999999999999999E-2</v>
      </c>
      <c r="H94" s="44">
        <f t="shared" si="4"/>
        <v>1555.0927932008599</v>
      </c>
      <c r="I94" s="49">
        <v>88</v>
      </c>
      <c r="J94" s="41">
        <f t="shared" si="5"/>
        <v>13.684816580167601</v>
      </c>
    </row>
    <row r="95" spans="1:10" ht="14.5">
      <c r="A95" s="12" t="s">
        <v>133</v>
      </c>
      <c r="B95" s="12" t="s">
        <v>93</v>
      </c>
      <c r="C95" s="12" t="s">
        <v>94</v>
      </c>
      <c r="D95" s="12" t="s">
        <v>183</v>
      </c>
      <c r="E95" s="12" t="s">
        <v>184</v>
      </c>
      <c r="F95" s="48">
        <v>1</v>
      </c>
      <c r="G95" s="23">
        <v>0.02</v>
      </c>
      <c r="H95" s="44">
        <f t="shared" si="4"/>
        <v>1562.75334883239</v>
      </c>
      <c r="I95" s="49">
        <v>185</v>
      </c>
      <c r="J95" s="41">
        <f t="shared" si="5"/>
        <v>28.9109369533993</v>
      </c>
    </row>
    <row r="96" spans="1:10" ht="14.5">
      <c r="A96" s="12" t="s">
        <v>133</v>
      </c>
      <c r="B96" s="12" t="s">
        <v>93</v>
      </c>
      <c r="C96" s="12" t="s">
        <v>94</v>
      </c>
      <c r="D96" s="12" t="s">
        <v>186</v>
      </c>
      <c r="E96" s="12" t="s">
        <v>187</v>
      </c>
      <c r="F96" s="48">
        <v>1</v>
      </c>
      <c r="G96" s="23">
        <v>0.02</v>
      </c>
      <c r="H96" s="44">
        <f t="shared" si="4"/>
        <v>1562.75334883239</v>
      </c>
      <c r="I96" s="49">
        <v>128</v>
      </c>
      <c r="J96" s="41">
        <f t="shared" si="5"/>
        <v>20.003242865054599</v>
      </c>
    </row>
    <row r="97" spans="1:10" ht="14.5">
      <c r="A97" s="12" t="s">
        <v>133</v>
      </c>
      <c r="B97" s="12" t="s">
        <v>93</v>
      </c>
      <c r="C97" s="12" t="s">
        <v>94</v>
      </c>
      <c r="D97" s="12" t="s">
        <v>188</v>
      </c>
      <c r="E97" s="12" t="s">
        <v>189</v>
      </c>
      <c r="F97" s="48">
        <v>1</v>
      </c>
      <c r="G97" s="23">
        <v>0.01</v>
      </c>
      <c r="H97" s="44">
        <f t="shared" si="4"/>
        <v>1547.43223756933</v>
      </c>
      <c r="I97" s="49">
        <v>28</v>
      </c>
      <c r="J97" s="41">
        <f t="shared" si="5"/>
        <v>4.33281026519413</v>
      </c>
    </row>
    <row r="98" spans="1:10" ht="14.5">
      <c r="A98" s="12" t="s">
        <v>134</v>
      </c>
      <c r="B98" s="12" t="s">
        <v>82</v>
      </c>
      <c r="C98" s="12" t="s">
        <v>83</v>
      </c>
      <c r="D98" s="12" t="s">
        <v>159</v>
      </c>
      <c r="E98" s="12" t="s">
        <v>160</v>
      </c>
      <c r="F98" s="48">
        <v>1</v>
      </c>
      <c r="G98" s="23">
        <v>0.01</v>
      </c>
      <c r="H98" s="44">
        <f t="shared" si="4"/>
        <v>3270.6737433060498</v>
      </c>
      <c r="I98" s="49">
        <v>210</v>
      </c>
      <c r="J98" s="41">
        <f t="shared" si="5"/>
        <v>68.684148609426998</v>
      </c>
    </row>
    <row r="99" spans="1:10" ht="14.5">
      <c r="A99" s="12" t="s">
        <v>134</v>
      </c>
      <c r="B99" s="12" t="s">
        <v>82</v>
      </c>
      <c r="C99" s="12" t="s">
        <v>83</v>
      </c>
      <c r="D99" s="12" t="s">
        <v>165</v>
      </c>
      <c r="E99" s="12" t="s">
        <v>166</v>
      </c>
      <c r="F99" s="48">
        <v>1</v>
      </c>
      <c r="G99" s="23">
        <v>0.02</v>
      </c>
      <c r="H99" s="44">
        <f t="shared" si="4"/>
        <v>3303.05665165561</v>
      </c>
      <c r="I99" s="49">
        <v>95</v>
      </c>
      <c r="J99" s="41">
        <f t="shared" si="5"/>
        <v>31.379038190728298</v>
      </c>
    </row>
    <row r="100" spans="1:10" ht="14.5">
      <c r="A100" s="12" t="s">
        <v>134</v>
      </c>
      <c r="B100" s="12" t="s">
        <v>82</v>
      </c>
      <c r="C100" s="12" t="s">
        <v>83</v>
      </c>
      <c r="D100" s="12" t="s">
        <v>171</v>
      </c>
      <c r="E100" s="12" t="s">
        <v>172</v>
      </c>
      <c r="F100" s="48">
        <v>1</v>
      </c>
      <c r="G100" s="23">
        <v>1.4999999999999999E-2</v>
      </c>
      <c r="H100" s="44">
        <f t="shared" si="4"/>
        <v>3286.8651974808299</v>
      </c>
      <c r="I100" s="49">
        <v>88</v>
      </c>
      <c r="J100" s="41">
        <f t="shared" si="5"/>
        <v>28.924413737831301</v>
      </c>
    </row>
    <row r="101" spans="1:10" ht="14.5">
      <c r="A101" s="12" t="s">
        <v>134</v>
      </c>
      <c r="B101" s="12" t="s">
        <v>82</v>
      </c>
      <c r="C101" s="12" t="s">
        <v>83</v>
      </c>
      <c r="D101" s="12" t="s">
        <v>188</v>
      </c>
      <c r="E101" s="12" t="s">
        <v>189</v>
      </c>
      <c r="F101" s="48">
        <v>1</v>
      </c>
      <c r="G101" s="23">
        <v>0.01</v>
      </c>
      <c r="H101" s="44">
        <f t="shared" si="4"/>
        <v>3270.6737433060498</v>
      </c>
      <c r="I101" s="49">
        <v>28</v>
      </c>
      <c r="J101" s="41">
        <f t="shared" si="5"/>
        <v>9.1578864812569307</v>
      </c>
    </row>
    <row r="102" spans="1:10" ht="14.5">
      <c r="A102" s="12" t="s">
        <v>134</v>
      </c>
      <c r="B102" s="12" t="s">
        <v>88</v>
      </c>
      <c r="C102" s="12" t="s">
        <v>89</v>
      </c>
      <c r="D102" s="12" t="s">
        <v>159</v>
      </c>
      <c r="E102" s="12" t="s">
        <v>160</v>
      </c>
      <c r="F102" s="48">
        <v>1</v>
      </c>
      <c r="G102" s="23">
        <v>0.01</v>
      </c>
      <c r="H102" s="44">
        <f t="shared" si="4"/>
        <v>4135.1830294607798</v>
      </c>
      <c r="I102" s="49">
        <v>210</v>
      </c>
      <c r="J102" s="41">
        <f t="shared" si="5"/>
        <v>86.838843618676293</v>
      </c>
    </row>
    <row r="103" spans="1:10" ht="14.5">
      <c r="A103" s="12" t="s">
        <v>134</v>
      </c>
      <c r="B103" s="12" t="s">
        <v>88</v>
      </c>
      <c r="C103" s="12" t="s">
        <v>89</v>
      </c>
      <c r="D103" s="12" t="s">
        <v>171</v>
      </c>
      <c r="E103" s="12" t="s">
        <v>172</v>
      </c>
      <c r="F103" s="48">
        <v>1</v>
      </c>
      <c r="G103" s="23">
        <v>1.4999999999999999E-2</v>
      </c>
      <c r="H103" s="44">
        <f t="shared" si="4"/>
        <v>4155.6542325769196</v>
      </c>
      <c r="I103" s="49">
        <v>88</v>
      </c>
      <c r="J103" s="41">
        <f t="shared" si="5"/>
        <v>36.5697572466769</v>
      </c>
    </row>
    <row r="104" spans="1:10" ht="14.5">
      <c r="A104" s="12" t="s">
        <v>134</v>
      </c>
      <c r="B104" s="12" t="s">
        <v>88</v>
      </c>
      <c r="C104" s="12" t="s">
        <v>89</v>
      </c>
      <c r="D104" s="12" t="s">
        <v>176</v>
      </c>
      <c r="E104" s="12" t="s">
        <v>177</v>
      </c>
      <c r="F104" s="48">
        <v>1</v>
      </c>
      <c r="G104" s="23">
        <v>0.02</v>
      </c>
      <c r="H104" s="44">
        <f t="shared" si="4"/>
        <v>4176.1254356930604</v>
      </c>
      <c r="I104" s="49">
        <v>72</v>
      </c>
      <c r="J104" s="41">
        <f t="shared" si="5"/>
        <v>30.06810313699</v>
      </c>
    </row>
    <row r="105" spans="1:10" ht="14.5">
      <c r="A105" s="12" t="s">
        <v>134</v>
      </c>
      <c r="B105" s="12" t="s">
        <v>88</v>
      </c>
      <c r="C105" s="12" t="s">
        <v>89</v>
      </c>
      <c r="D105" s="12" t="s">
        <v>179</v>
      </c>
      <c r="E105" s="12" t="s">
        <v>180</v>
      </c>
      <c r="F105" s="48">
        <v>1</v>
      </c>
      <c r="G105" s="23">
        <v>0.02</v>
      </c>
      <c r="H105" s="44">
        <f t="shared" si="4"/>
        <v>4176.1254356930604</v>
      </c>
      <c r="I105" s="49">
        <v>65</v>
      </c>
      <c r="J105" s="41">
        <f t="shared" si="5"/>
        <v>27.144815332004899</v>
      </c>
    </row>
    <row r="106" spans="1:10" ht="14.5">
      <c r="A106" s="12" t="s">
        <v>134</v>
      </c>
      <c r="B106" s="12" t="s">
        <v>88</v>
      </c>
      <c r="C106" s="12" t="s">
        <v>89</v>
      </c>
      <c r="D106" s="12" t="s">
        <v>188</v>
      </c>
      <c r="E106" s="12" t="s">
        <v>189</v>
      </c>
      <c r="F106" s="48">
        <v>1</v>
      </c>
      <c r="G106" s="23">
        <v>0.01</v>
      </c>
      <c r="H106" s="44">
        <f t="shared" si="4"/>
        <v>4135.1830294607798</v>
      </c>
      <c r="I106" s="49">
        <v>28</v>
      </c>
      <c r="J106" s="41">
        <f t="shared" si="5"/>
        <v>11.578512482490201</v>
      </c>
    </row>
    <row r="107" spans="1:10" ht="14.5">
      <c r="A107" s="12" t="s">
        <v>134</v>
      </c>
      <c r="B107" s="12" t="s">
        <v>93</v>
      </c>
      <c r="C107" s="12" t="s">
        <v>94</v>
      </c>
      <c r="D107" s="12" t="s">
        <v>171</v>
      </c>
      <c r="E107" s="12" t="s">
        <v>172</v>
      </c>
      <c r="F107" s="48">
        <v>1</v>
      </c>
      <c r="G107" s="23">
        <v>1.4999999999999999E-2</v>
      </c>
      <c r="H107" s="44">
        <f t="shared" si="4"/>
        <v>1573.7539067192699</v>
      </c>
      <c r="I107" s="49">
        <v>88</v>
      </c>
      <c r="J107" s="41">
        <f t="shared" si="5"/>
        <v>13.8490343791296</v>
      </c>
    </row>
    <row r="108" spans="1:10" ht="14.5">
      <c r="A108" s="12" t="s">
        <v>134</v>
      </c>
      <c r="B108" s="12" t="s">
        <v>93</v>
      </c>
      <c r="C108" s="12" t="s">
        <v>94</v>
      </c>
      <c r="D108" s="12" t="s">
        <v>183</v>
      </c>
      <c r="E108" s="12" t="s">
        <v>184</v>
      </c>
      <c r="F108" s="48">
        <v>1</v>
      </c>
      <c r="G108" s="23">
        <v>0.02</v>
      </c>
      <c r="H108" s="44">
        <f t="shared" si="4"/>
        <v>1581.5063890183801</v>
      </c>
      <c r="I108" s="49">
        <v>185</v>
      </c>
      <c r="J108" s="41">
        <f t="shared" si="5"/>
        <v>29.2578681968401</v>
      </c>
    </row>
    <row r="109" spans="1:10" ht="14.5">
      <c r="A109" s="12" t="s">
        <v>134</v>
      </c>
      <c r="B109" s="12" t="s">
        <v>93</v>
      </c>
      <c r="C109" s="12" t="s">
        <v>94</v>
      </c>
      <c r="D109" s="12" t="s">
        <v>186</v>
      </c>
      <c r="E109" s="12" t="s">
        <v>187</v>
      </c>
      <c r="F109" s="48">
        <v>1</v>
      </c>
      <c r="G109" s="23">
        <v>0.02</v>
      </c>
      <c r="H109" s="44">
        <f t="shared" si="4"/>
        <v>1581.5063890183801</v>
      </c>
      <c r="I109" s="49">
        <v>128</v>
      </c>
      <c r="J109" s="41">
        <f t="shared" si="5"/>
        <v>20.2432817794353</v>
      </c>
    </row>
    <row r="110" spans="1:10" ht="14.5">
      <c r="A110" s="12" t="s">
        <v>134</v>
      </c>
      <c r="B110" s="12" t="s">
        <v>93</v>
      </c>
      <c r="C110" s="12" t="s">
        <v>94</v>
      </c>
      <c r="D110" s="12" t="s">
        <v>188</v>
      </c>
      <c r="E110" s="12" t="s">
        <v>189</v>
      </c>
      <c r="F110" s="48">
        <v>1</v>
      </c>
      <c r="G110" s="23">
        <v>0.01</v>
      </c>
      <c r="H110" s="44">
        <f t="shared" ref="H110:H173" si="6">SUMIFS($G$6:$G$41,$A$6:$A$41,B110,$C$6:$C$41,A110)*F110*(1+G110)</f>
        <v>1566.00142442016</v>
      </c>
      <c r="I110" s="49">
        <v>28</v>
      </c>
      <c r="J110" s="41">
        <f t="shared" ref="J110:J173" si="7">H110*I110/10000</f>
        <v>4.3848039883764596</v>
      </c>
    </row>
    <row r="111" spans="1:10" ht="14.5">
      <c r="A111" s="12" t="s">
        <v>135</v>
      </c>
      <c r="B111" s="12" t="s">
        <v>82</v>
      </c>
      <c r="C111" s="12" t="s">
        <v>83</v>
      </c>
      <c r="D111" s="12" t="s">
        <v>159</v>
      </c>
      <c r="E111" s="12" t="s">
        <v>160</v>
      </c>
      <c r="F111" s="48">
        <v>1</v>
      </c>
      <c r="G111" s="23">
        <v>0.01</v>
      </c>
      <c r="H111" s="44">
        <f t="shared" si="6"/>
        <v>3454.1768906202501</v>
      </c>
      <c r="I111" s="49">
        <v>210</v>
      </c>
      <c r="J111" s="41">
        <f t="shared" si="7"/>
        <v>72.537714703025202</v>
      </c>
    </row>
    <row r="112" spans="1:10" ht="14.5">
      <c r="A112" s="12" t="s">
        <v>135</v>
      </c>
      <c r="B112" s="12" t="s">
        <v>82</v>
      </c>
      <c r="C112" s="12" t="s">
        <v>83</v>
      </c>
      <c r="D112" s="12" t="s">
        <v>165</v>
      </c>
      <c r="E112" s="12" t="s">
        <v>166</v>
      </c>
      <c r="F112" s="48">
        <v>1</v>
      </c>
      <c r="G112" s="23">
        <v>0.02</v>
      </c>
      <c r="H112" s="44">
        <f t="shared" si="6"/>
        <v>3488.37666181451</v>
      </c>
      <c r="I112" s="49">
        <v>95</v>
      </c>
      <c r="J112" s="41">
        <f t="shared" si="7"/>
        <v>33.139578287237804</v>
      </c>
    </row>
    <row r="113" spans="1:10" ht="14.5">
      <c r="A113" s="12" t="s">
        <v>135</v>
      </c>
      <c r="B113" s="12" t="s">
        <v>82</v>
      </c>
      <c r="C113" s="12" t="s">
        <v>83</v>
      </c>
      <c r="D113" s="12" t="s">
        <v>171</v>
      </c>
      <c r="E113" s="12" t="s">
        <v>172</v>
      </c>
      <c r="F113" s="48">
        <v>1</v>
      </c>
      <c r="G113" s="23">
        <v>1.4999999999999999E-2</v>
      </c>
      <c r="H113" s="44">
        <f t="shared" si="6"/>
        <v>3471.2767762173798</v>
      </c>
      <c r="I113" s="49">
        <v>88</v>
      </c>
      <c r="J113" s="41">
        <f t="shared" si="7"/>
        <v>30.547235630712901</v>
      </c>
    </row>
    <row r="114" spans="1:10" ht="14.5">
      <c r="A114" s="12" t="s">
        <v>135</v>
      </c>
      <c r="B114" s="12" t="s">
        <v>82</v>
      </c>
      <c r="C114" s="12" t="s">
        <v>83</v>
      </c>
      <c r="D114" s="12" t="s">
        <v>188</v>
      </c>
      <c r="E114" s="12" t="s">
        <v>189</v>
      </c>
      <c r="F114" s="48">
        <v>1</v>
      </c>
      <c r="G114" s="23">
        <v>0.01</v>
      </c>
      <c r="H114" s="44">
        <f t="shared" si="6"/>
        <v>3454.1768906202501</v>
      </c>
      <c r="I114" s="49">
        <v>28</v>
      </c>
      <c r="J114" s="41">
        <f t="shared" si="7"/>
        <v>9.6716952937367004</v>
      </c>
    </row>
    <row r="115" spans="1:10" ht="14.5">
      <c r="A115" s="12" t="s">
        <v>135</v>
      </c>
      <c r="B115" s="12" t="s">
        <v>88</v>
      </c>
      <c r="C115" s="12" t="s">
        <v>89</v>
      </c>
      <c r="D115" s="12" t="s">
        <v>159</v>
      </c>
      <c r="E115" s="12" t="s">
        <v>160</v>
      </c>
      <c r="F115" s="48">
        <v>1</v>
      </c>
      <c r="G115" s="23">
        <v>0.01</v>
      </c>
      <c r="H115" s="44">
        <f t="shared" si="6"/>
        <v>4367.1899981103898</v>
      </c>
      <c r="I115" s="49">
        <v>210</v>
      </c>
      <c r="J115" s="41">
        <f t="shared" si="7"/>
        <v>91.710989960318201</v>
      </c>
    </row>
    <row r="116" spans="1:10" ht="14.5">
      <c r="A116" s="12" t="s">
        <v>135</v>
      </c>
      <c r="B116" s="12" t="s">
        <v>88</v>
      </c>
      <c r="C116" s="12" t="s">
        <v>89</v>
      </c>
      <c r="D116" s="12" t="s">
        <v>171</v>
      </c>
      <c r="E116" s="12" t="s">
        <v>172</v>
      </c>
      <c r="F116" s="48">
        <v>1</v>
      </c>
      <c r="G116" s="23">
        <v>1.4999999999999999E-2</v>
      </c>
      <c r="H116" s="44">
        <f t="shared" si="6"/>
        <v>4388.8097505762798</v>
      </c>
      <c r="I116" s="49">
        <v>88</v>
      </c>
      <c r="J116" s="41">
        <f t="shared" si="7"/>
        <v>38.6215258050713</v>
      </c>
    </row>
    <row r="117" spans="1:10" ht="14.5">
      <c r="A117" s="12" t="s">
        <v>135</v>
      </c>
      <c r="B117" s="12" t="s">
        <v>88</v>
      </c>
      <c r="C117" s="12" t="s">
        <v>89</v>
      </c>
      <c r="D117" s="12" t="s">
        <v>176</v>
      </c>
      <c r="E117" s="12" t="s">
        <v>177</v>
      </c>
      <c r="F117" s="48">
        <v>1</v>
      </c>
      <c r="G117" s="23">
        <v>0.02</v>
      </c>
      <c r="H117" s="44">
        <f t="shared" si="6"/>
        <v>4410.4295030421799</v>
      </c>
      <c r="I117" s="49">
        <v>72</v>
      </c>
      <c r="J117" s="41">
        <f t="shared" si="7"/>
        <v>31.755092421903701</v>
      </c>
    </row>
    <row r="118" spans="1:10" ht="14.5">
      <c r="A118" s="12" t="s">
        <v>135</v>
      </c>
      <c r="B118" s="12" t="s">
        <v>88</v>
      </c>
      <c r="C118" s="12" t="s">
        <v>89</v>
      </c>
      <c r="D118" s="12" t="s">
        <v>179</v>
      </c>
      <c r="E118" s="12" t="s">
        <v>180</v>
      </c>
      <c r="F118" s="48">
        <v>1</v>
      </c>
      <c r="G118" s="23">
        <v>0.02</v>
      </c>
      <c r="H118" s="44">
        <f t="shared" si="6"/>
        <v>4410.4295030421799</v>
      </c>
      <c r="I118" s="49">
        <v>65</v>
      </c>
      <c r="J118" s="41">
        <f t="shared" si="7"/>
        <v>28.667791769774102</v>
      </c>
    </row>
    <row r="119" spans="1:10" ht="14.5">
      <c r="A119" s="12" t="s">
        <v>135</v>
      </c>
      <c r="B119" s="12" t="s">
        <v>88</v>
      </c>
      <c r="C119" s="12" t="s">
        <v>89</v>
      </c>
      <c r="D119" s="12" t="s">
        <v>188</v>
      </c>
      <c r="E119" s="12" t="s">
        <v>189</v>
      </c>
      <c r="F119" s="48">
        <v>1</v>
      </c>
      <c r="G119" s="23">
        <v>0.01</v>
      </c>
      <c r="H119" s="44">
        <f t="shared" si="6"/>
        <v>4367.1899981103898</v>
      </c>
      <c r="I119" s="49">
        <v>28</v>
      </c>
      <c r="J119" s="41">
        <f t="shared" si="7"/>
        <v>12.2281319947091</v>
      </c>
    </row>
    <row r="120" spans="1:10" ht="14.5">
      <c r="A120" s="12" t="s">
        <v>135</v>
      </c>
      <c r="B120" s="12" t="s">
        <v>93</v>
      </c>
      <c r="C120" s="12" t="s">
        <v>94</v>
      </c>
      <c r="D120" s="12" t="s">
        <v>171</v>
      </c>
      <c r="E120" s="12" t="s">
        <v>172</v>
      </c>
      <c r="F120" s="48">
        <v>1</v>
      </c>
      <c r="G120" s="23">
        <v>1.4999999999999999E-2</v>
      </c>
      <c r="H120" s="44">
        <f t="shared" si="6"/>
        <v>1658.7656460809201</v>
      </c>
      <c r="I120" s="49">
        <v>88</v>
      </c>
      <c r="J120" s="41">
        <f t="shared" si="7"/>
        <v>14.5971376855121</v>
      </c>
    </row>
    <row r="121" spans="1:10" ht="14.5">
      <c r="A121" s="12" t="s">
        <v>135</v>
      </c>
      <c r="B121" s="12" t="s">
        <v>93</v>
      </c>
      <c r="C121" s="12" t="s">
        <v>94</v>
      </c>
      <c r="D121" s="12" t="s">
        <v>183</v>
      </c>
      <c r="E121" s="12" t="s">
        <v>184</v>
      </c>
      <c r="F121" s="48">
        <v>1</v>
      </c>
      <c r="G121" s="23">
        <v>0.02</v>
      </c>
      <c r="H121" s="44">
        <f t="shared" si="6"/>
        <v>1666.93690542122</v>
      </c>
      <c r="I121" s="49">
        <v>185</v>
      </c>
      <c r="J121" s="41">
        <f t="shared" si="7"/>
        <v>30.838332750292601</v>
      </c>
    </row>
    <row r="122" spans="1:10" ht="14.5">
      <c r="A122" s="12" t="s">
        <v>135</v>
      </c>
      <c r="B122" s="12" t="s">
        <v>93</v>
      </c>
      <c r="C122" s="12" t="s">
        <v>94</v>
      </c>
      <c r="D122" s="12" t="s">
        <v>186</v>
      </c>
      <c r="E122" s="12" t="s">
        <v>187</v>
      </c>
      <c r="F122" s="48">
        <v>1</v>
      </c>
      <c r="G122" s="23">
        <v>0.02</v>
      </c>
      <c r="H122" s="44">
        <f t="shared" si="6"/>
        <v>1666.93690542122</v>
      </c>
      <c r="I122" s="49">
        <v>128</v>
      </c>
      <c r="J122" s="41">
        <f t="shared" si="7"/>
        <v>21.336792389391601</v>
      </c>
    </row>
    <row r="123" spans="1:10" ht="14.5">
      <c r="A123" s="12" t="s">
        <v>135</v>
      </c>
      <c r="B123" s="12" t="s">
        <v>93</v>
      </c>
      <c r="C123" s="12" t="s">
        <v>94</v>
      </c>
      <c r="D123" s="12" t="s">
        <v>188</v>
      </c>
      <c r="E123" s="12" t="s">
        <v>189</v>
      </c>
      <c r="F123" s="48">
        <v>1</v>
      </c>
      <c r="G123" s="23">
        <v>0.01</v>
      </c>
      <c r="H123" s="44">
        <f t="shared" si="6"/>
        <v>1650.5943867406199</v>
      </c>
      <c r="I123" s="49">
        <v>28</v>
      </c>
      <c r="J123" s="41">
        <f t="shared" si="7"/>
        <v>4.6216642828737404</v>
      </c>
    </row>
    <row r="124" spans="1:10" ht="14.5">
      <c r="A124" s="12" t="s">
        <v>136</v>
      </c>
      <c r="B124" s="12" t="s">
        <v>82</v>
      </c>
      <c r="C124" s="12" t="s">
        <v>83</v>
      </c>
      <c r="D124" s="12" t="s">
        <v>159</v>
      </c>
      <c r="E124" s="12" t="s">
        <v>160</v>
      </c>
      <c r="F124" s="48">
        <v>1</v>
      </c>
      <c r="G124" s="23">
        <v>0.01</v>
      </c>
      <c r="H124" s="44">
        <f t="shared" si="6"/>
        <v>3454.1768906202501</v>
      </c>
      <c r="I124" s="49">
        <v>210</v>
      </c>
      <c r="J124" s="41">
        <f t="shared" si="7"/>
        <v>72.537714703025202</v>
      </c>
    </row>
    <row r="125" spans="1:10" ht="14.5">
      <c r="A125" s="12" t="s">
        <v>136</v>
      </c>
      <c r="B125" s="12" t="s">
        <v>82</v>
      </c>
      <c r="C125" s="12" t="s">
        <v>83</v>
      </c>
      <c r="D125" s="12" t="s">
        <v>165</v>
      </c>
      <c r="E125" s="12" t="s">
        <v>166</v>
      </c>
      <c r="F125" s="48">
        <v>1</v>
      </c>
      <c r="G125" s="23">
        <v>0.02</v>
      </c>
      <c r="H125" s="44">
        <f t="shared" si="6"/>
        <v>3488.37666181451</v>
      </c>
      <c r="I125" s="49">
        <v>95</v>
      </c>
      <c r="J125" s="41">
        <f t="shared" si="7"/>
        <v>33.139578287237804</v>
      </c>
    </row>
    <row r="126" spans="1:10" ht="14.5">
      <c r="A126" s="12" t="s">
        <v>136</v>
      </c>
      <c r="B126" s="12" t="s">
        <v>82</v>
      </c>
      <c r="C126" s="12" t="s">
        <v>83</v>
      </c>
      <c r="D126" s="12" t="s">
        <v>171</v>
      </c>
      <c r="E126" s="12" t="s">
        <v>172</v>
      </c>
      <c r="F126" s="48">
        <v>1</v>
      </c>
      <c r="G126" s="23">
        <v>1.4999999999999999E-2</v>
      </c>
      <c r="H126" s="44">
        <f t="shared" si="6"/>
        <v>3471.2767762173798</v>
      </c>
      <c r="I126" s="49">
        <v>88</v>
      </c>
      <c r="J126" s="41">
        <f t="shared" si="7"/>
        <v>30.547235630712901</v>
      </c>
    </row>
    <row r="127" spans="1:10" ht="14.5">
      <c r="A127" s="12" t="s">
        <v>136</v>
      </c>
      <c r="B127" s="12" t="s">
        <v>82</v>
      </c>
      <c r="C127" s="12" t="s">
        <v>83</v>
      </c>
      <c r="D127" s="12" t="s">
        <v>188</v>
      </c>
      <c r="E127" s="12" t="s">
        <v>189</v>
      </c>
      <c r="F127" s="48">
        <v>1</v>
      </c>
      <c r="G127" s="23">
        <v>0.01</v>
      </c>
      <c r="H127" s="44">
        <f t="shared" si="6"/>
        <v>3454.1768906202501</v>
      </c>
      <c r="I127" s="49">
        <v>28</v>
      </c>
      <c r="J127" s="41">
        <f t="shared" si="7"/>
        <v>9.6716952937367004</v>
      </c>
    </row>
    <row r="128" spans="1:10" ht="14.5">
      <c r="A128" s="12" t="s">
        <v>136</v>
      </c>
      <c r="B128" s="12" t="s">
        <v>88</v>
      </c>
      <c r="C128" s="12" t="s">
        <v>89</v>
      </c>
      <c r="D128" s="12" t="s">
        <v>159</v>
      </c>
      <c r="E128" s="12" t="s">
        <v>160</v>
      </c>
      <c r="F128" s="48">
        <v>1</v>
      </c>
      <c r="G128" s="23">
        <v>0.01</v>
      </c>
      <c r="H128" s="44">
        <f t="shared" si="6"/>
        <v>4367.1899981103898</v>
      </c>
      <c r="I128" s="49">
        <v>210</v>
      </c>
      <c r="J128" s="41">
        <f t="shared" si="7"/>
        <v>91.710989960318201</v>
      </c>
    </row>
    <row r="129" spans="1:10" ht="14.5">
      <c r="A129" s="12" t="s">
        <v>136</v>
      </c>
      <c r="B129" s="12" t="s">
        <v>88</v>
      </c>
      <c r="C129" s="12" t="s">
        <v>89</v>
      </c>
      <c r="D129" s="12" t="s">
        <v>171</v>
      </c>
      <c r="E129" s="12" t="s">
        <v>172</v>
      </c>
      <c r="F129" s="48">
        <v>1</v>
      </c>
      <c r="G129" s="23">
        <v>1.4999999999999999E-2</v>
      </c>
      <c r="H129" s="44">
        <f t="shared" si="6"/>
        <v>4388.8097505762798</v>
      </c>
      <c r="I129" s="49">
        <v>88</v>
      </c>
      <c r="J129" s="41">
        <f t="shared" si="7"/>
        <v>38.6215258050713</v>
      </c>
    </row>
    <row r="130" spans="1:10" ht="14.5">
      <c r="A130" s="12" t="s">
        <v>136</v>
      </c>
      <c r="B130" s="12" t="s">
        <v>88</v>
      </c>
      <c r="C130" s="12" t="s">
        <v>89</v>
      </c>
      <c r="D130" s="12" t="s">
        <v>176</v>
      </c>
      <c r="E130" s="12" t="s">
        <v>177</v>
      </c>
      <c r="F130" s="48">
        <v>1</v>
      </c>
      <c r="G130" s="23">
        <v>0.02</v>
      </c>
      <c r="H130" s="44">
        <f t="shared" si="6"/>
        <v>4410.4295030421799</v>
      </c>
      <c r="I130" s="49">
        <v>72</v>
      </c>
      <c r="J130" s="41">
        <f t="shared" si="7"/>
        <v>31.755092421903701</v>
      </c>
    </row>
    <row r="131" spans="1:10" ht="14.5">
      <c r="A131" s="12" t="s">
        <v>136</v>
      </c>
      <c r="B131" s="12" t="s">
        <v>88</v>
      </c>
      <c r="C131" s="12" t="s">
        <v>89</v>
      </c>
      <c r="D131" s="12" t="s">
        <v>179</v>
      </c>
      <c r="E131" s="12" t="s">
        <v>180</v>
      </c>
      <c r="F131" s="48">
        <v>1</v>
      </c>
      <c r="G131" s="23">
        <v>0.02</v>
      </c>
      <c r="H131" s="44">
        <f t="shared" si="6"/>
        <v>4410.4295030421799</v>
      </c>
      <c r="I131" s="49">
        <v>65</v>
      </c>
      <c r="J131" s="41">
        <f t="shared" si="7"/>
        <v>28.667791769774102</v>
      </c>
    </row>
    <row r="132" spans="1:10" ht="14.5">
      <c r="A132" s="12" t="s">
        <v>136</v>
      </c>
      <c r="B132" s="12" t="s">
        <v>88</v>
      </c>
      <c r="C132" s="12" t="s">
        <v>89</v>
      </c>
      <c r="D132" s="12" t="s">
        <v>188</v>
      </c>
      <c r="E132" s="12" t="s">
        <v>189</v>
      </c>
      <c r="F132" s="48">
        <v>1</v>
      </c>
      <c r="G132" s="23">
        <v>0.01</v>
      </c>
      <c r="H132" s="44">
        <f t="shared" si="6"/>
        <v>4367.1899981103898</v>
      </c>
      <c r="I132" s="49">
        <v>28</v>
      </c>
      <c r="J132" s="41">
        <f t="shared" si="7"/>
        <v>12.2281319947091</v>
      </c>
    </row>
    <row r="133" spans="1:10" ht="14.5">
      <c r="A133" s="12" t="s">
        <v>136</v>
      </c>
      <c r="B133" s="12" t="s">
        <v>93</v>
      </c>
      <c r="C133" s="12" t="s">
        <v>94</v>
      </c>
      <c r="D133" s="12" t="s">
        <v>171</v>
      </c>
      <c r="E133" s="12" t="s">
        <v>172</v>
      </c>
      <c r="F133" s="48">
        <v>1</v>
      </c>
      <c r="G133" s="23">
        <v>1.4999999999999999E-2</v>
      </c>
      <c r="H133" s="44">
        <f t="shared" si="6"/>
        <v>1658.7656460809201</v>
      </c>
      <c r="I133" s="49">
        <v>88</v>
      </c>
      <c r="J133" s="41">
        <f t="shared" si="7"/>
        <v>14.5971376855121</v>
      </c>
    </row>
    <row r="134" spans="1:10" ht="14.5">
      <c r="A134" s="12" t="s">
        <v>136</v>
      </c>
      <c r="B134" s="12" t="s">
        <v>93</v>
      </c>
      <c r="C134" s="12" t="s">
        <v>94</v>
      </c>
      <c r="D134" s="12" t="s">
        <v>183</v>
      </c>
      <c r="E134" s="12" t="s">
        <v>184</v>
      </c>
      <c r="F134" s="48">
        <v>1</v>
      </c>
      <c r="G134" s="23">
        <v>0.02</v>
      </c>
      <c r="H134" s="44">
        <f t="shared" si="6"/>
        <v>1666.93690542122</v>
      </c>
      <c r="I134" s="49">
        <v>185</v>
      </c>
      <c r="J134" s="41">
        <f t="shared" si="7"/>
        <v>30.838332750292601</v>
      </c>
    </row>
    <row r="135" spans="1:10" ht="14.5">
      <c r="A135" s="12" t="s">
        <v>136</v>
      </c>
      <c r="B135" s="12" t="s">
        <v>93</v>
      </c>
      <c r="C135" s="12" t="s">
        <v>94</v>
      </c>
      <c r="D135" s="12" t="s">
        <v>186</v>
      </c>
      <c r="E135" s="12" t="s">
        <v>187</v>
      </c>
      <c r="F135" s="48">
        <v>1</v>
      </c>
      <c r="G135" s="23">
        <v>0.02</v>
      </c>
      <c r="H135" s="44">
        <f t="shared" si="6"/>
        <v>1666.93690542122</v>
      </c>
      <c r="I135" s="49">
        <v>128</v>
      </c>
      <c r="J135" s="41">
        <f t="shared" si="7"/>
        <v>21.336792389391601</v>
      </c>
    </row>
    <row r="136" spans="1:10" ht="14.5">
      <c r="A136" s="12" t="s">
        <v>136</v>
      </c>
      <c r="B136" s="12" t="s">
        <v>93</v>
      </c>
      <c r="C136" s="12" t="s">
        <v>94</v>
      </c>
      <c r="D136" s="12" t="s">
        <v>188</v>
      </c>
      <c r="E136" s="12" t="s">
        <v>189</v>
      </c>
      <c r="F136" s="48">
        <v>1</v>
      </c>
      <c r="G136" s="23">
        <v>0.01</v>
      </c>
      <c r="H136" s="44">
        <f t="shared" si="6"/>
        <v>1650.5943867406199</v>
      </c>
      <c r="I136" s="49">
        <v>28</v>
      </c>
      <c r="J136" s="41">
        <f t="shared" si="7"/>
        <v>4.6216642828737404</v>
      </c>
    </row>
    <row r="137" spans="1:10" ht="14.5">
      <c r="A137" s="12" t="s">
        <v>137</v>
      </c>
      <c r="B137" s="12" t="s">
        <v>82</v>
      </c>
      <c r="C137" s="12" t="s">
        <v>83</v>
      </c>
      <c r="D137" s="12" t="s">
        <v>159</v>
      </c>
      <c r="E137" s="12" t="s">
        <v>160</v>
      </c>
      <c r="F137" s="48">
        <v>1</v>
      </c>
      <c r="G137" s="23">
        <v>0.01</v>
      </c>
      <c r="H137" s="44">
        <f t="shared" si="6"/>
        <v>3486.5597989698099</v>
      </c>
      <c r="I137" s="49">
        <v>210</v>
      </c>
      <c r="J137" s="41">
        <f t="shared" si="7"/>
        <v>73.217755778366097</v>
      </c>
    </row>
    <row r="138" spans="1:10" ht="14.5">
      <c r="A138" s="12" t="s">
        <v>137</v>
      </c>
      <c r="B138" s="12" t="s">
        <v>82</v>
      </c>
      <c r="C138" s="12" t="s">
        <v>83</v>
      </c>
      <c r="D138" s="12" t="s">
        <v>165</v>
      </c>
      <c r="E138" s="12" t="s">
        <v>166</v>
      </c>
      <c r="F138" s="48">
        <v>1</v>
      </c>
      <c r="G138" s="23">
        <v>0.02</v>
      </c>
      <c r="H138" s="44">
        <f t="shared" si="6"/>
        <v>3521.08019301902</v>
      </c>
      <c r="I138" s="49">
        <v>95</v>
      </c>
      <c r="J138" s="41">
        <f t="shared" si="7"/>
        <v>33.450261833680699</v>
      </c>
    </row>
    <row r="139" spans="1:10" ht="14.5">
      <c r="A139" s="12" t="s">
        <v>137</v>
      </c>
      <c r="B139" s="12" t="s">
        <v>82</v>
      </c>
      <c r="C139" s="12" t="s">
        <v>83</v>
      </c>
      <c r="D139" s="12" t="s">
        <v>171</v>
      </c>
      <c r="E139" s="12" t="s">
        <v>172</v>
      </c>
      <c r="F139" s="48">
        <v>1</v>
      </c>
      <c r="G139" s="23">
        <v>1.4999999999999999E-2</v>
      </c>
      <c r="H139" s="44">
        <f t="shared" si="6"/>
        <v>3503.81999599442</v>
      </c>
      <c r="I139" s="49">
        <v>88</v>
      </c>
      <c r="J139" s="41">
        <f t="shared" si="7"/>
        <v>30.833615964750901</v>
      </c>
    </row>
    <row r="140" spans="1:10" ht="14.5">
      <c r="A140" s="12" t="s">
        <v>137</v>
      </c>
      <c r="B140" s="12" t="s">
        <v>82</v>
      </c>
      <c r="C140" s="12" t="s">
        <v>83</v>
      </c>
      <c r="D140" s="12" t="s">
        <v>188</v>
      </c>
      <c r="E140" s="12" t="s">
        <v>189</v>
      </c>
      <c r="F140" s="48">
        <v>1</v>
      </c>
      <c r="G140" s="23">
        <v>0.01</v>
      </c>
      <c r="H140" s="44">
        <f t="shared" si="6"/>
        <v>3486.5597989698099</v>
      </c>
      <c r="I140" s="49">
        <v>28</v>
      </c>
      <c r="J140" s="41">
        <f t="shared" si="7"/>
        <v>9.7623674371154792</v>
      </c>
    </row>
    <row r="141" spans="1:10" ht="14.5">
      <c r="A141" s="12" t="s">
        <v>137</v>
      </c>
      <c r="B141" s="12" t="s">
        <v>88</v>
      </c>
      <c r="C141" s="12" t="s">
        <v>89</v>
      </c>
      <c r="D141" s="12" t="s">
        <v>159</v>
      </c>
      <c r="E141" s="12" t="s">
        <v>160</v>
      </c>
      <c r="F141" s="48">
        <v>1</v>
      </c>
      <c r="G141" s="23">
        <v>0.01</v>
      </c>
      <c r="H141" s="44">
        <f t="shared" si="6"/>
        <v>4408.1324043426703</v>
      </c>
      <c r="I141" s="49">
        <v>210</v>
      </c>
      <c r="J141" s="41">
        <f t="shared" si="7"/>
        <v>92.570780491196203</v>
      </c>
    </row>
    <row r="142" spans="1:10" ht="14.5">
      <c r="A142" s="12" t="s">
        <v>137</v>
      </c>
      <c r="B142" s="12" t="s">
        <v>88</v>
      </c>
      <c r="C142" s="12" t="s">
        <v>89</v>
      </c>
      <c r="D142" s="12" t="s">
        <v>171</v>
      </c>
      <c r="E142" s="12" t="s">
        <v>172</v>
      </c>
      <c r="F142" s="48">
        <v>1</v>
      </c>
      <c r="G142" s="23">
        <v>1.4999999999999999E-2</v>
      </c>
      <c r="H142" s="44">
        <f t="shared" si="6"/>
        <v>4429.9548419879302</v>
      </c>
      <c r="I142" s="49">
        <v>88</v>
      </c>
      <c r="J142" s="41">
        <f t="shared" si="7"/>
        <v>38.983602609493801</v>
      </c>
    </row>
    <row r="143" spans="1:10" ht="14.5">
      <c r="A143" s="12" t="s">
        <v>137</v>
      </c>
      <c r="B143" s="12" t="s">
        <v>88</v>
      </c>
      <c r="C143" s="12" t="s">
        <v>89</v>
      </c>
      <c r="D143" s="12" t="s">
        <v>176</v>
      </c>
      <c r="E143" s="12" t="s">
        <v>177</v>
      </c>
      <c r="F143" s="48">
        <v>1</v>
      </c>
      <c r="G143" s="23">
        <v>0.02</v>
      </c>
      <c r="H143" s="44">
        <f t="shared" si="6"/>
        <v>4451.7772796332001</v>
      </c>
      <c r="I143" s="49">
        <v>72</v>
      </c>
      <c r="J143" s="41">
        <f t="shared" si="7"/>
        <v>32.052796413358998</v>
      </c>
    </row>
    <row r="144" spans="1:10" ht="14.5">
      <c r="A144" s="12" t="s">
        <v>137</v>
      </c>
      <c r="B144" s="12" t="s">
        <v>88</v>
      </c>
      <c r="C144" s="12" t="s">
        <v>89</v>
      </c>
      <c r="D144" s="12" t="s">
        <v>179</v>
      </c>
      <c r="E144" s="12" t="s">
        <v>180</v>
      </c>
      <c r="F144" s="48">
        <v>1</v>
      </c>
      <c r="G144" s="23">
        <v>0.02</v>
      </c>
      <c r="H144" s="44">
        <f t="shared" si="6"/>
        <v>4451.7772796332001</v>
      </c>
      <c r="I144" s="49">
        <v>65</v>
      </c>
      <c r="J144" s="41">
        <f t="shared" si="7"/>
        <v>28.936552317615799</v>
      </c>
    </row>
    <row r="145" spans="1:10" ht="14.5">
      <c r="A145" s="12" t="s">
        <v>137</v>
      </c>
      <c r="B145" s="12" t="s">
        <v>88</v>
      </c>
      <c r="C145" s="12" t="s">
        <v>89</v>
      </c>
      <c r="D145" s="12" t="s">
        <v>188</v>
      </c>
      <c r="E145" s="12" t="s">
        <v>189</v>
      </c>
      <c r="F145" s="48">
        <v>1</v>
      </c>
      <c r="G145" s="23">
        <v>0.01</v>
      </c>
      <c r="H145" s="44">
        <f t="shared" si="6"/>
        <v>4408.1324043426703</v>
      </c>
      <c r="I145" s="49">
        <v>28</v>
      </c>
      <c r="J145" s="41">
        <f t="shared" si="7"/>
        <v>12.342770732159501</v>
      </c>
    </row>
    <row r="146" spans="1:10" ht="14.5">
      <c r="A146" s="12" t="s">
        <v>137</v>
      </c>
      <c r="B146" s="12" t="s">
        <v>93</v>
      </c>
      <c r="C146" s="12" t="s">
        <v>94</v>
      </c>
      <c r="D146" s="12" t="s">
        <v>171</v>
      </c>
      <c r="E146" s="12" t="s">
        <v>172</v>
      </c>
      <c r="F146" s="48">
        <v>1</v>
      </c>
      <c r="G146" s="23">
        <v>1.4999999999999999E-2</v>
      </c>
      <c r="H146" s="44">
        <f t="shared" si="6"/>
        <v>1677.4267595993299</v>
      </c>
      <c r="I146" s="49">
        <v>88</v>
      </c>
      <c r="J146" s="41">
        <f t="shared" si="7"/>
        <v>14.7613554844741</v>
      </c>
    </row>
    <row r="147" spans="1:10" ht="14.5">
      <c r="A147" s="12" t="s">
        <v>137</v>
      </c>
      <c r="B147" s="12" t="s">
        <v>93</v>
      </c>
      <c r="C147" s="12" t="s">
        <v>94</v>
      </c>
      <c r="D147" s="12" t="s">
        <v>183</v>
      </c>
      <c r="E147" s="12" t="s">
        <v>184</v>
      </c>
      <c r="F147" s="48">
        <v>1</v>
      </c>
      <c r="G147" s="23">
        <v>0.02</v>
      </c>
      <c r="H147" s="44">
        <f t="shared" si="6"/>
        <v>1685.6899456072099</v>
      </c>
      <c r="I147" s="49">
        <v>185</v>
      </c>
      <c r="J147" s="41">
        <f t="shared" si="7"/>
        <v>31.1852639937334</v>
      </c>
    </row>
    <row r="148" spans="1:10" ht="14.5">
      <c r="A148" s="12" t="s">
        <v>137</v>
      </c>
      <c r="B148" s="12" t="s">
        <v>93</v>
      </c>
      <c r="C148" s="12" t="s">
        <v>94</v>
      </c>
      <c r="D148" s="12" t="s">
        <v>186</v>
      </c>
      <c r="E148" s="12" t="s">
        <v>187</v>
      </c>
      <c r="F148" s="48">
        <v>1</v>
      </c>
      <c r="G148" s="23">
        <v>0.02</v>
      </c>
      <c r="H148" s="44">
        <f t="shared" si="6"/>
        <v>1685.6899456072099</v>
      </c>
      <c r="I148" s="49">
        <v>128</v>
      </c>
      <c r="J148" s="41">
        <f t="shared" si="7"/>
        <v>21.576831303772298</v>
      </c>
    </row>
    <row r="149" spans="1:10" ht="14.5">
      <c r="A149" s="12" t="s">
        <v>137</v>
      </c>
      <c r="B149" s="12" t="s">
        <v>93</v>
      </c>
      <c r="C149" s="12" t="s">
        <v>94</v>
      </c>
      <c r="D149" s="12" t="s">
        <v>188</v>
      </c>
      <c r="E149" s="12" t="s">
        <v>189</v>
      </c>
      <c r="F149" s="48">
        <v>1</v>
      </c>
      <c r="G149" s="23">
        <v>0.01</v>
      </c>
      <c r="H149" s="44">
        <f t="shared" si="6"/>
        <v>1669.1635735914499</v>
      </c>
      <c r="I149" s="49">
        <v>28</v>
      </c>
      <c r="J149" s="41">
        <f t="shared" si="7"/>
        <v>4.67365800605607</v>
      </c>
    </row>
    <row r="150" spans="1:10" ht="14.5">
      <c r="A150" s="12" t="s">
        <v>138</v>
      </c>
      <c r="B150" s="12" t="s">
        <v>82</v>
      </c>
      <c r="C150" s="12" t="s">
        <v>83</v>
      </c>
      <c r="D150" s="12" t="s">
        <v>159</v>
      </c>
      <c r="E150" s="12" t="s">
        <v>160</v>
      </c>
      <c r="F150" s="48">
        <v>1</v>
      </c>
      <c r="G150" s="23">
        <v>0.01</v>
      </c>
      <c r="H150" s="44">
        <f t="shared" si="6"/>
        <v>3702.44585463358</v>
      </c>
      <c r="I150" s="49">
        <v>210</v>
      </c>
      <c r="J150" s="41">
        <f t="shared" si="7"/>
        <v>77.751362947305196</v>
      </c>
    </row>
    <row r="151" spans="1:10" ht="14.5">
      <c r="A151" s="12" t="s">
        <v>138</v>
      </c>
      <c r="B151" s="12" t="s">
        <v>82</v>
      </c>
      <c r="C151" s="12" t="s">
        <v>83</v>
      </c>
      <c r="D151" s="12" t="s">
        <v>165</v>
      </c>
      <c r="E151" s="12" t="s">
        <v>166</v>
      </c>
      <c r="F151" s="48">
        <v>1</v>
      </c>
      <c r="G151" s="23">
        <v>0.02</v>
      </c>
      <c r="H151" s="44">
        <f t="shared" si="6"/>
        <v>3739.10373438243</v>
      </c>
      <c r="I151" s="49">
        <v>95</v>
      </c>
      <c r="J151" s="41">
        <f t="shared" si="7"/>
        <v>35.521485476633103</v>
      </c>
    </row>
    <row r="152" spans="1:10" ht="14.5">
      <c r="A152" s="12" t="s">
        <v>138</v>
      </c>
      <c r="B152" s="12" t="s">
        <v>82</v>
      </c>
      <c r="C152" s="12" t="s">
        <v>83</v>
      </c>
      <c r="D152" s="12" t="s">
        <v>171</v>
      </c>
      <c r="E152" s="12" t="s">
        <v>172</v>
      </c>
      <c r="F152" s="48">
        <v>1</v>
      </c>
      <c r="G152" s="23">
        <v>1.4999999999999999E-2</v>
      </c>
      <c r="H152" s="44">
        <f t="shared" si="6"/>
        <v>3720.774794508</v>
      </c>
      <c r="I152" s="49">
        <v>88</v>
      </c>
      <c r="J152" s="41">
        <f t="shared" si="7"/>
        <v>32.742818191670402</v>
      </c>
    </row>
    <row r="153" spans="1:10" ht="14.5">
      <c r="A153" s="12" t="s">
        <v>138</v>
      </c>
      <c r="B153" s="12" t="s">
        <v>82</v>
      </c>
      <c r="C153" s="12" t="s">
        <v>83</v>
      </c>
      <c r="D153" s="12" t="s">
        <v>188</v>
      </c>
      <c r="E153" s="12" t="s">
        <v>189</v>
      </c>
      <c r="F153" s="48">
        <v>1</v>
      </c>
      <c r="G153" s="23">
        <v>0.01</v>
      </c>
      <c r="H153" s="44">
        <f t="shared" si="6"/>
        <v>3702.44585463358</v>
      </c>
      <c r="I153" s="49">
        <v>28</v>
      </c>
      <c r="J153" s="41">
        <f t="shared" si="7"/>
        <v>10.366848392973999</v>
      </c>
    </row>
    <row r="154" spans="1:10" ht="14.5">
      <c r="A154" s="12" t="s">
        <v>138</v>
      </c>
      <c r="B154" s="12" t="s">
        <v>88</v>
      </c>
      <c r="C154" s="12" t="s">
        <v>89</v>
      </c>
      <c r="D154" s="12" t="s">
        <v>159</v>
      </c>
      <c r="E154" s="12" t="s">
        <v>160</v>
      </c>
      <c r="F154" s="48">
        <v>1</v>
      </c>
      <c r="G154" s="23">
        <v>0.01</v>
      </c>
      <c r="H154" s="44">
        <f t="shared" si="6"/>
        <v>4681.0817792245798</v>
      </c>
      <c r="I154" s="49">
        <v>210</v>
      </c>
      <c r="J154" s="41">
        <f t="shared" si="7"/>
        <v>98.302717363716098</v>
      </c>
    </row>
    <row r="155" spans="1:10" ht="14.5">
      <c r="A155" s="12" t="s">
        <v>138</v>
      </c>
      <c r="B155" s="12" t="s">
        <v>88</v>
      </c>
      <c r="C155" s="12" t="s">
        <v>89</v>
      </c>
      <c r="D155" s="12" t="s">
        <v>171</v>
      </c>
      <c r="E155" s="12" t="s">
        <v>172</v>
      </c>
      <c r="F155" s="48">
        <v>1</v>
      </c>
      <c r="G155" s="23">
        <v>1.4999999999999999E-2</v>
      </c>
      <c r="H155" s="44">
        <f t="shared" si="6"/>
        <v>4704.2554513989498</v>
      </c>
      <c r="I155" s="49">
        <v>88</v>
      </c>
      <c r="J155" s="41">
        <f t="shared" si="7"/>
        <v>41.3974479723108</v>
      </c>
    </row>
    <row r="156" spans="1:10" ht="14.5">
      <c r="A156" s="12" t="s">
        <v>138</v>
      </c>
      <c r="B156" s="12" t="s">
        <v>88</v>
      </c>
      <c r="C156" s="12" t="s">
        <v>89</v>
      </c>
      <c r="D156" s="12" t="s">
        <v>176</v>
      </c>
      <c r="E156" s="12" t="s">
        <v>177</v>
      </c>
      <c r="F156" s="48">
        <v>1</v>
      </c>
      <c r="G156" s="23">
        <v>0.02</v>
      </c>
      <c r="H156" s="44">
        <f t="shared" si="6"/>
        <v>4727.4291235733299</v>
      </c>
      <c r="I156" s="49">
        <v>72</v>
      </c>
      <c r="J156" s="41">
        <f t="shared" si="7"/>
        <v>34.037489689727998</v>
      </c>
    </row>
    <row r="157" spans="1:10" ht="14.5">
      <c r="A157" s="12" t="s">
        <v>138</v>
      </c>
      <c r="B157" s="12" t="s">
        <v>88</v>
      </c>
      <c r="C157" s="12" t="s">
        <v>89</v>
      </c>
      <c r="D157" s="12" t="s">
        <v>179</v>
      </c>
      <c r="E157" s="12" t="s">
        <v>180</v>
      </c>
      <c r="F157" s="48">
        <v>1</v>
      </c>
      <c r="G157" s="23">
        <v>0.02</v>
      </c>
      <c r="H157" s="44">
        <f t="shared" si="6"/>
        <v>4727.4291235733299</v>
      </c>
      <c r="I157" s="49">
        <v>65</v>
      </c>
      <c r="J157" s="41">
        <f t="shared" si="7"/>
        <v>30.728289303226699</v>
      </c>
    </row>
    <row r="158" spans="1:10" ht="14.5">
      <c r="A158" s="12" t="s">
        <v>138</v>
      </c>
      <c r="B158" s="12" t="s">
        <v>88</v>
      </c>
      <c r="C158" s="12" t="s">
        <v>89</v>
      </c>
      <c r="D158" s="12" t="s">
        <v>188</v>
      </c>
      <c r="E158" s="12" t="s">
        <v>189</v>
      </c>
      <c r="F158" s="48">
        <v>1</v>
      </c>
      <c r="G158" s="23">
        <v>0.01</v>
      </c>
      <c r="H158" s="44">
        <f t="shared" si="6"/>
        <v>4681.0817792245798</v>
      </c>
      <c r="I158" s="49">
        <v>28</v>
      </c>
      <c r="J158" s="41">
        <f t="shared" si="7"/>
        <v>13.107028981828799</v>
      </c>
    </row>
    <row r="159" spans="1:10" ht="14.5">
      <c r="A159" s="12" t="s">
        <v>138</v>
      </c>
      <c r="B159" s="12" t="s">
        <v>93</v>
      </c>
      <c r="C159" s="12" t="s">
        <v>94</v>
      </c>
      <c r="D159" s="12" t="s">
        <v>171</v>
      </c>
      <c r="E159" s="12" t="s">
        <v>172</v>
      </c>
      <c r="F159" s="48">
        <v>1</v>
      </c>
      <c r="G159" s="23">
        <v>1.4999999999999999E-2</v>
      </c>
      <c r="H159" s="44">
        <f t="shared" si="6"/>
        <v>1781.0996124793901</v>
      </c>
      <c r="I159" s="49">
        <v>88</v>
      </c>
      <c r="J159" s="41">
        <f t="shared" si="7"/>
        <v>15.6736765898186</v>
      </c>
    </row>
    <row r="160" spans="1:10" ht="14.5">
      <c r="A160" s="12" t="s">
        <v>138</v>
      </c>
      <c r="B160" s="12" t="s">
        <v>93</v>
      </c>
      <c r="C160" s="12" t="s">
        <v>94</v>
      </c>
      <c r="D160" s="12" t="s">
        <v>183</v>
      </c>
      <c r="E160" s="12" t="s">
        <v>184</v>
      </c>
      <c r="F160" s="48">
        <v>1</v>
      </c>
      <c r="G160" s="23">
        <v>0.02</v>
      </c>
      <c r="H160" s="44">
        <f t="shared" si="6"/>
        <v>1789.8735021960399</v>
      </c>
      <c r="I160" s="49">
        <v>185</v>
      </c>
      <c r="J160" s="41">
        <f t="shared" si="7"/>
        <v>33.112659790626701</v>
      </c>
    </row>
    <row r="161" spans="1:10" ht="14.5">
      <c r="A161" s="12" t="s">
        <v>138</v>
      </c>
      <c r="B161" s="12" t="s">
        <v>93</v>
      </c>
      <c r="C161" s="12" t="s">
        <v>94</v>
      </c>
      <c r="D161" s="12" t="s">
        <v>186</v>
      </c>
      <c r="E161" s="12" t="s">
        <v>187</v>
      </c>
      <c r="F161" s="48">
        <v>1</v>
      </c>
      <c r="G161" s="23">
        <v>0.02</v>
      </c>
      <c r="H161" s="44">
        <f t="shared" si="6"/>
        <v>1789.8735021960399</v>
      </c>
      <c r="I161" s="49">
        <v>128</v>
      </c>
      <c r="J161" s="41">
        <f t="shared" si="7"/>
        <v>22.9103808281093</v>
      </c>
    </row>
    <row r="162" spans="1:10" ht="14.5">
      <c r="A162" s="12" t="s">
        <v>138</v>
      </c>
      <c r="B162" s="12" t="s">
        <v>93</v>
      </c>
      <c r="C162" s="12" t="s">
        <v>94</v>
      </c>
      <c r="D162" s="12" t="s">
        <v>188</v>
      </c>
      <c r="E162" s="12" t="s">
        <v>189</v>
      </c>
      <c r="F162" s="48">
        <v>1</v>
      </c>
      <c r="G162" s="23">
        <v>0.01</v>
      </c>
      <c r="H162" s="44">
        <f t="shared" si="6"/>
        <v>1772.32572276274</v>
      </c>
      <c r="I162" s="49">
        <v>28</v>
      </c>
      <c r="J162" s="41">
        <f t="shared" si="7"/>
        <v>4.9625120237356803</v>
      </c>
    </row>
    <row r="163" spans="1:10" ht="14.5">
      <c r="A163" s="12" t="s">
        <v>139</v>
      </c>
      <c r="B163" s="12" t="s">
        <v>82</v>
      </c>
      <c r="C163" s="12" t="s">
        <v>83</v>
      </c>
      <c r="D163" s="12" t="s">
        <v>159</v>
      </c>
      <c r="E163" s="12" t="s">
        <v>160</v>
      </c>
      <c r="F163" s="48">
        <v>1</v>
      </c>
      <c r="G163" s="23">
        <v>0.01</v>
      </c>
      <c r="H163" s="44">
        <f t="shared" si="6"/>
        <v>4015.4806353460399</v>
      </c>
      <c r="I163" s="49">
        <v>210</v>
      </c>
      <c r="J163" s="41">
        <f t="shared" si="7"/>
        <v>84.325093342266896</v>
      </c>
    </row>
    <row r="164" spans="1:10" ht="14.5">
      <c r="A164" s="12" t="s">
        <v>139</v>
      </c>
      <c r="B164" s="12" t="s">
        <v>82</v>
      </c>
      <c r="C164" s="12" t="s">
        <v>83</v>
      </c>
      <c r="D164" s="12" t="s">
        <v>165</v>
      </c>
      <c r="E164" s="12" t="s">
        <v>166</v>
      </c>
      <c r="F164" s="48">
        <v>1</v>
      </c>
      <c r="G164" s="23">
        <v>0.02</v>
      </c>
      <c r="H164" s="44">
        <f t="shared" si="6"/>
        <v>4055.2378693593701</v>
      </c>
      <c r="I164" s="49">
        <v>95</v>
      </c>
      <c r="J164" s="41">
        <f t="shared" si="7"/>
        <v>38.524759758914001</v>
      </c>
    </row>
    <row r="165" spans="1:10" ht="14.5">
      <c r="A165" s="12" t="s">
        <v>139</v>
      </c>
      <c r="B165" s="12" t="s">
        <v>82</v>
      </c>
      <c r="C165" s="12" t="s">
        <v>83</v>
      </c>
      <c r="D165" s="12" t="s">
        <v>171</v>
      </c>
      <c r="E165" s="12" t="s">
        <v>172</v>
      </c>
      <c r="F165" s="48">
        <v>1</v>
      </c>
      <c r="G165" s="23">
        <v>1.4999999999999999E-2</v>
      </c>
      <c r="H165" s="44">
        <f t="shared" si="6"/>
        <v>4035.3592523527</v>
      </c>
      <c r="I165" s="49">
        <v>88</v>
      </c>
      <c r="J165" s="41">
        <f t="shared" si="7"/>
        <v>35.5111614207038</v>
      </c>
    </row>
    <row r="166" spans="1:10" ht="14.5">
      <c r="A166" s="12" t="s">
        <v>139</v>
      </c>
      <c r="B166" s="12" t="s">
        <v>82</v>
      </c>
      <c r="C166" s="12" t="s">
        <v>83</v>
      </c>
      <c r="D166" s="12" t="s">
        <v>188</v>
      </c>
      <c r="E166" s="12" t="s">
        <v>189</v>
      </c>
      <c r="F166" s="48">
        <v>1</v>
      </c>
      <c r="G166" s="23">
        <v>0.01</v>
      </c>
      <c r="H166" s="44">
        <f t="shared" si="6"/>
        <v>4015.4806353460399</v>
      </c>
      <c r="I166" s="49">
        <v>28</v>
      </c>
      <c r="J166" s="41">
        <f t="shared" si="7"/>
        <v>11.2433457789689</v>
      </c>
    </row>
    <row r="167" spans="1:10" ht="14.5">
      <c r="A167" s="12" t="s">
        <v>139</v>
      </c>
      <c r="B167" s="12" t="s">
        <v>88</v>
      </c>
      <c r="C167" s="12" t="s">
        <v>89</v>
      </c>
      <c r="D167" s="12" t="s">
        <v>159</v>
      </c>
      <c r="E167" s="12" t="s">
        <v>160</v>
      </c>
      <c r="F167" s="48">
        <v>1</v>
      </c>
      <c r="G167" s="23">
        <v>0.01</v>
      </c>
      <c r="H167" s="44">
        <f t="shared" si="6"/>
        <v>5076.85837280333</v>
      </c>
      <c r="I167" s="49">
        <v>210</v>
      </c>
      <c r="J167" s="41">
        <f t="shared" si="7"/>
        <v>106.61402582887</v>
      </c>
    </row>
    <row r="168" spans="1:10" ht="14.5">
      <c r="A168" s="12" t="s">
        <v>139</v>
      </c>
      <c r="B168" s="12" t="s">
        <v>88</v>
      </c>
      <c r="C168" s="12" t="s">
        <v>89</v>
      </c>
      <c r="D168" s="12" t="s">
        <v>171</v>
      </c>
      <c r="E168" s="12" t="s">
        <v>172</v>
      </c>
      <c r="F168" s="48">
        <v>1</v>
      </c>
      <c r="G168" s="23">
        <v>1.4999999999999999E-2</v>
      </c>
      <c r="H168" s="44">
        <f t="shared" si="6"/>
        <v>5101.9913350449297</v>
      </c>
      <c r="I168" s="49">
        <v>88</v>
      </c>
      <c r="J168" s="41">
        <f t="shared" si="7"/>
        <v>44.8975237483954</v>
      </c>
    </row>
    <row r="169" spans="1:10" ht="14.5">
      <c r="A169" s="12" t="s">
        <v>139</v>
      </c>
      <c r="B169" s="12" t="s">
        <v>88</v>
      </c>
      <c r="C169" s="12" t="s">
        <v>89</v>
      </c>
      <c r="D169" s="12" t="s">
        <v>176</v>
      </c>
      <c r="E169" s="12" t="s">
        <v>177</v>
      </c>
      <c r="F169" s="48">
        <v>1</v>
      </c>
      <c r="G169" s="23">
        <v>0.02</v>
      </c>
      <c r="H169" s="44">
        <f t="shared" si="6"/>
        <v>5127.1242972865302</v>
      </c>
      <c r="I169" s="49">
        <v>72</v>
      </c>
      <c r="J169" s="41">
        <f t="shared" si="7"/>
        <v>36.915294940462999</v>
      </c>
    </row>
    <row r="170" spans="1:10" ht="14.5">
      <c r="A170" s="12" t="s">
        <v>139</v>
      </c>
      <c r="B170" s="12" t="s">
        <v>88</v>
      </c>
      <c r="C170" s="12" t="s">
        <v>89</v>
      </c>
      <c r="D170" s="12" t="s">
        <v>179</v>
      </c>
      <c r="E170" s="12" t="s">
        <v>180</v>
      </c>
      <c r="F170" s="48">
        <v>1</v>
      </c>
      <c r="G170" s="23">
        <v>0.02</v>
      </c>
      <c r="H170" s="44">
        <f t="shared" si="6"/>
        <v>5127.1242972865302</v>
      </c>
      <c r="I170" s="49">
        <v>65</v>
      </c>
      <c r="J170" s="41">
        <f t="shared" si="7"/>
        <v>33.326307932362397</v>
      </c>
    </row>
    <row r="171" spans="1:10" ht="14.5">
      <c r="A171" s="12" t="s">
        <v>139</v>
      </c>
      <c r="B171" s="12" t="s">
        <v>88</v>
      </c>
      <c r="C171" s="12" t="s">
        <v>89</v>
      </c>
      <c r="D171" s="12" t="s">
        <v>188</v>
      </c>
      <c r="E171" s="12" t="s">
        <v>189</v>
      </c>
      <c r="F171" s="48">
        <v>1</v>
      </c>
      <c r="G171" s="23">
        <v>0.01</v>
      </c>
      <c r="H171" s="44">
        <f t="shared" si="6"/>
        <v>5076.85837280333</v>
      </c>
      <c r="I171" s="49">
        <v>28</v>
      </c>
      <c r="J171" s="41">
        <f t="shared" si="7"/>
        <v>14.215203443849299</v>
      </c>
    </row>
    <row r="172" spans="1:10" ht="14.5">
      <c r="A172" s="12" t="s">
        <v>139</v>
      </c>
      <c r="B172" s="12" t="s">
        <v>93</v>
      </c>
      <c r="C172" s="12" t="s">
        <v>94</v>
      </c>
      <c r="D172" s="12" t="s">
        <v>171</v>
      </c>
      <c r="E172" s="12" t="s">
        <v>172</v>
      </c>
      <c r="F172" s="48">
        <v>1</v>
      </c>
      <c r="G172" s="23">
        <v>1.4999999999999999E-2</v>
      </c>
      <c r="H172" s="44">
        <f t="shared" si="6"/>
        <v>1940.75580591468</v>
      </c>
      <c r="I172" s="49">
        <v>88</v>
      </c>
      <c r="J172" s="41">
        <f t="shared" si="7"/>
        <v>17.078651092049199</v>
      </c>
    </row>
    <row r="173" spans="1:10" ht="14.5">
      <c r="A173" s="12" t="s">
        <v>139</v>
      </c>
      <c r="B173" s="12" t="s">
        <v>93</v>
      </c>
      <c r="C173" s="12" t="s">
        <v>94</v>
      </c>
      <c r="D173" s="12" t="s">
        <v>183</v>
      </c>
      <c r="E173" s="12" t="s">
        <v>184</v>
      </c>
      <c r="F173" s="48">
        <v>1</v>
      </c>
      <c r="G173" s="23">
        <v>0.02</v>
      </c>
      <c r="H173" s="44">
        <f t="shared" si="6"/>
        <v>1950.3161793428301</v>
      </c>
      <c r="I173" s="49">
        <v>185</v>
      </c>
      <c r="J173" s="41">
        <f t="shared" si="7"/>
        <v>36.080849317842301</v>
      </c>
    </row>
    <row r="174" spans="1:10" ht="14.5">
      <c r="A174" s="12" t="s">
        <v>139</v>
      </c>
      <c r="B174" s="12" t="s">
        <v>93</v>
      </c>
      <c r="C174" s="12" t="s">
        <v>94</v>
      </c>
      <c r="D174" s="12" t="s">
        <v>186</v>
      </c>
      <c r="E174" s="12" t="s">
        <v>187</v>
      </c>
      <c r="F174" s="48">
        <v>1</v>
      </c>
      <c r="G174" s="23">
        <v>0.02</v>
      </c>
      <c r="H174" s="44">
        <f t="shared" ref="H174:H201" si="8">SUMIFS($G$6:$G$41,$A$6:$A$41,B174,$C$6:$C$41,A174)*F174*(1+G174)</f>
        <v>1950.3161793428301</v>
      </c>
      <c r="I174" s="49">
        <v>128</v>
      </c>
      <c r="J174" s="41">
        <f t="shared" ref="J174:J201" si="9">H174*I174/10000</f>
        <v>24.964047095588199</v>
      </c>
    </row>
    <row r="175" spans="1:10" ht="14.5">
      <c r="A175" s="12" t="s">
        <v>139</v>
      </c>
      <c r="B175" s="12" t="s">
        <v>93</v>
      </c>
      <c r="C175" s="12" t="s">
        <v>94</v>
      </c>
      <c r="D175" s="12" t="s">
        <v>188</v>
      </c>
      <c r="E175" s="12" t="s">
        <v>189</v>
      </c>
      <c r="F175" s="48">
        <v>1</v>
      </c>
      <c r="G175" s="23">
        <v>0.01</v>
      </c>
      <c r="H175" s="44">
        <f t="shared" si="8"/>
        <v>1931.1954324865301</v>
      </c>
      <c r="I175" s="49">
        <v>28</v>
      </c>
      <c r="J175" s="41">
        <f t="shared" si="9"/>
        <v>5.4073472109622696</v>
      </c>
    </row>
    <row r="176" spans="1:10" ht="14.5">
      <c r="A176" s="12" t="s">
        <v>140</v>
      </c>
      <c r="B176" s="12" t="s">
        <v>82</v>
      </c>
      <c r="C176" s="12" t="s">
        <v>83</v>
      </c>
      <c r="D176" s="12" t="s">
        <v>159</v>
      </c>
      <c r="E176" s="12" t="s">
        <v>160</v>
      </c>
      <c r="F176" s="48">
        <v>1</v>
      </c>
      <c r="G176" s="23">
        <v>0.01</v>
      </c>
      <c r="H176" s="44">
        <f t="shared" si="8"/>
        <v>4846.64194965154</v>
      </c>
      <c r="I176" s="49">
        <v>210</v>
      </c>
      <c r="J176" s="41">
        <f t="shared" si="9"/>
        <v>101.779480942682</v>
      </c>
    </row>
    <row r="177" spans="1:10" ht="14.5">
      <c r="A177" s="12" t="s">
        <v>140</v>
      </c>
      <c r="B177" s="12" t="s">
        <v>82</v>
      </c>
      <c r="C177" s="12" t="s">
        <v>83</v>
      </c>
      <c r="D177" s="12" t="s">
        <v>165</v>
      </c>
      <c r="E177" s="12" t="s">
        <v>166</v>
      </c>
      <c r="F177" s="48">
        <v>1</v>
      </c>
      <c r="G177" s="23">
        <v>0.02</v>
      </c>
      <c r="H177" s="44">
        <f t="shared" si="8"/>
        <v>4894.6285036084801</v>
      </c>
      <c r="I177" s="49">
        <v>95</v>
      </c>
      <c r="J177" s="41">
        <f t="shared" si="9"/>
        <v>46.498970784280601</v>
      </c>
    </row>
    <row r="178" spans="1:10" ht="14.5">
      <c r="A178" s="12" t="s">
        <v>140</v>
      </c>
      <c r="B178" s="12" t="s">
        <v>82</v>
      </c>
      <c r="C178" s="12" t="s">
        <v>83</v>
      </c>
      <c r="D178" s="12" t="s">
        <v>171</v>
      </c>
      <c r="E178" s="12" t="s">
        <v>172</v>
      </c>
      <c r="F178" s="48">
        <v>1</v>
      </c>
      <c r="G178" s="23">
        <v>1.4999999999999999E-2</v>
      </c>
      <c r="H178" s="44">
        <f t="shared" si="8"/>
        <v>4870.63522663001</v>
      </c>
      <c r="I178" s="49">
        <v>88</v>
      </c>
      <c r="J178" s="41">
        <f t="shared" si="9"/>
        <v>42.861589994344101</v>
      </c>
    </row>
    <row r="179" spans="1:10" ht="14.5">
      <c r="A179" s="12" t="s">
        <v>140</v>
      </c>
      <c r="B179" s="12" t="s">
        <v>82</v>
      </c>
      <c r="C179" s="12" t="s">
        <v>83</v>
      </c>
      <c r="D179" s="12" t="s">
        <v>188</v>
      </c>
      <c r="E179" s="12" t="s">
        <v>189</v>
      </c>
      <c r="F179" s="48">
        <v>1</v>
      </c>
      <c r="G179" s="23">
        <v>0.01</v>
      </c>
      <c r="H179" s="44">
        <f t="shared" si="8"/>
        <v>4846.64194965154</v>
      </c>
      <c r="I179" s="49">
        <v>28</v>
      </c>
      <c r="J179" s="41">
        <f t="shared" si="9"/>
        <v>13.570597459024301</v>
      </c>
    </row>
    <row r="180" spans="1:10" ht="14.5">
      <c r="A180" s="12" t="s">
        <v>140</v>
      </c>
      <c r="B180" s="12" t="s">
        <v>88</v>
      </c>
      <c r="C180" s="12" t="s">
        <v>89</v>
      </c>
      <c r="D180" s="12" t="s">
        <v>159</v>
      </c>
      <c r="E180" s="12" t="s">
        <v>160</v>
      </c>
      <c r="F180" s="48">
        <v>1</v>
      </c>
      <c r="G180" s="23">
        <v>0.01</v>
      </c>
      <c r="H180" s="44">
        <f t="shared" si="8"/>
        <v>6127.7134660986403</v>
      </c>
      <c r="I180" s="49">
        <v>210</v>
      </c>
      <c r="J180" s="41">
        <f t="shared" si="9"/>
        <v>128.681982788071</v>
      </c>
    </row>
    <row r="181" spans="1:10" ht="14.5">
      <c r="A181" s="12" t="s">
        <v>140</v>
      </c>
      <c r="B181" s="12" t="s">
        <v>88</v>
      </c>
      <c r="C181" s="12" t="s">
        <v>89</v>
      </c>
      <c r="D181" s="12" t="s">
        <v>171</v>
      </c>
      <c r="E181" s="12" t="s">
        <v>172</v>
      </c>
      <c r="F181" s="48">
        <v>1</v>
      </c>
      <c r="G181" s="23">
        <v>1.4999999999999999E-2</v>
      </c>
      <c r="H181" s="44">
        <f t="shared" si="8"/>
        <v>6158.0486812773497</v>
      </c>
      <c r="I181" s="49">
        <v>88</v>
      </c>
      <c r="J181" s="41">
        <f t="shared" si="9"/>
        <v>54.1908283952407</v>
      </c>
    </row>
    <row r="182" spans="1:10" ht="14.5">
      <c r="A182" s="12" t="s">
        <v>140</v>
      </c>
      <c r="B182" s="12" t="s">
        <v>88</v>
      </c>
      <c r="C182" s="12" t="s">
        <v>89</v>
      </c>
      <c r="D182" s="12" t="s">
        <v>176</v>
      </c>
      <c r="E182" s="12" t="s">
        <v>177</v>
      </c>
      <c r="F182" s="48">
        <v>1</v>
      </c>
      <c r="G182" s="23">
        <v>0.02</v>
      </c>
      <c r="H182" s="44">
        <f t="shared" si="8"/>
        <v>6188.38389645605</v>
      </c>
      <c r="I182" s="49">
        <v>72</v>
      </c>
      <c r="J182" s="41">
        <f t="shared" si="9"/>
        <v>44.556364054483602</v>
      </c>
    </row>
    <row r="183" spans="1:10" ht="14.5">
      <c r="A183" s="12" t="s">
        <v>140</v>
      </c>
      <c r="B183" s="12" t="s">
        <v>88</v>
      </c>
      <c r="C183" s="12" t="s">
        <v>89</v>
      </c>
      <c r="D183" s="12" t="s">
        <v>179</v>
      </c>
      <c r="E183" s="12" t="s">
        <v>180</v>
      </c>
      <c r="F183" s="48">
        <v>1</v>
      </c>
      <c r="G183" s="23">
        <v>0.02</v>
      </c>
      <c r="H183" s="44">
        <f t="shared" si="8"/>
        <v>6188.38389645605</v>
      </c>
      <c r="I183" s="49">
        <v>65</v>
      </c>
      <c r="J183" s="41">
        <f t="shared" si="9"/>
        <v>40.224495326964302</v>
      </c>
    </row>
    <row r="184" spans="1:10" ht="14.5">
      <c r="A184" s="12" t="s">
        <v>140</v>
      </c>
      <c r="B184" s="12" t="s">
        <v>88</v>
      </c>
      <c r="C184" s="12" t="s">
        <v>89</v>
      </c>
      <c r="D184" s="12" t="s">
        <v>188</v>
      </c>
      <c r="E184" s="12" t="s">
        <v>189</v>
      </c>
      <c r="F184" s="48">
        <v>1</v>
      </c>
      <c r="G184" s="23">
        <v>0.01</v>
      </c>
      <c r="H184" s="44">
        <f t="shared" si="8"/>
        <v>6127.7134660986403</v>
      </c>
      <c r="I184" s="49">
        <v>28</v>
      </c>
      <c r="J184" s="41">
        <f t="shared" si="9"/>
        <v>17.157597705076199</v>
      </c>
    </row>
    <row r="185" spans="1:10" ht="14.5">
      <c r="A185" s="12" t="s">
        <v>140</v>
      </c>
      <c r="B185" s="12" t="s">
        <v>93</v>
      </c>
      <c r="C185" s="12" t="s">
        <v>94</v>
      </c>
      <c r="D185" s="12" t="s">
        <v>171</v>
      </c>
      <c r="E185" s="12" t="s">
        <v>172</v>
      </c>
      <c r="F185" s="48">
        <v>1</v>
      </c>
      <c r="G185" s="23">
        <v>1.4999999999999999E-2</v>
      </c>
      <c r="H185" s="44">
        <f t="shared" si="8"/>
        <v>2336.7861039165</v>
      </c>
      <c r="I185" s="49">
        <v>88</v>
      </c>
      <c r="J185" s="41">
        <f t="shared" si="9"/>
        <v>20.563717714465199</v>
      </c>
    </row>
    <row r="186" spans="1:10" ht="14.5">
      <c r="A186" s="12" t="s">
        <v>140</v>
      </c>
      <c r="B186" s="12" t="s">
        <v>93</v>
      </c>
      <c r="C186" s="12" t="s">
        <v>94</v>
      </c>
      <c r="D186" s="12" t="s">
        <v>183</v>
      </c>
      <c r="E186" s="12" t="s">
        <v>184</v>
      </c>
      <c r="F186" s="48">
        <v>1</v>
      </c>
      <c r="G186" s="23">
        <v>0.02</v>
      </c>
      <c r="H186" s="44">
        <f t="shared" si="8"/>
        <v>2348.29736551215</v>
      </c>
      <c r="I186" s="49">
        <v>185</v>
      </c>
      <c r="J186" s="41">
        <f t="shared" si="9"/>
        <v>43.443501261974703</v>
      </c>
    </row>
    <row r="187" spans="1:10" ht="14.5">
      <c r="A187" s="12" t="s">
        <v>140</v>
      </c>
      <c r="B187" s="12" t="s">
        <v>93</v>
      </c>
      <c r="C187" s="12" t="s">
        <v>94</v>
      </c>
      <c r="D187" s="12" t="s">
        <v>186</v>
      </c>
      <c r="E187" s="12" t="s">
        <v>187</v>
      </c>
      <c r="F187" s="48">
        <v>1</v>
      </c>
      <c r="G187" s="23">
        <v>0.02</v>
      </c>
      <c r="H187" s="44">
        <f t="shared" si="8"/>
        <v>2348.29736551215</v>
      </c>
      <c r="I187" s="49">
        <v>128</v>
      </c>
      <c r="J187" s="41">
        <f t="shared" si="9"/>
        <v>30.058206278555499</v>
      </c>
    </row>
    <row r="188" spans="1:10" ht="14.5">
      <c r="A188" s="12" t="s">
        <v>140</v>
      </c>
      <c r="B188" s="12" t="s">
        <v>93</v>
      </c>
      <c r="C188" s="12" t="s">
        <v>94</v>
      </c>
      <c r="D188" s="12" t="s">
        <v>188</v>
      </c>
      <c r="E188" s="12" t="s">
        <v>189</v>
      </c>
      <c r="F188" s="48">
        <v>1</v>
      </c>
      <c r="G188" s="23">
        <v>0.01</v>
      </c>
      <c r="H188" s="44">
        <f t="shared" si="8"/>
        <v>2325.27484232085</v>
      </c>
      <c r="I188" s="49">
        <v>28</v>
      </c>
      <c r="J188" s="41">
        <f t="shared" si="9"/>
        <v>6.5107695584983798</v>
      </c>
    </row>
    <row r="189" spans="1:10" ht="14.5">
      <c r="A189" s="12" t="s">
        <v>141</v>
      </c>
      <c r="B189" s="12" t="s">
        <v>82</v>
      </c>
      <c r="C189" s="12" t="s">
        <v>83</v>
      </c>
      <c r="D189" s="12" t="s">
        <v>159</v>
      </c>
      <c r="E189" s="12" t="s">
        <v>160</v>
      </c>
      <c r="F189" s="48">
        <v>1</v>
      </c>
      <c r="G189" s="23">
        <v>0.01</v>
      </c>
      <c r="H189" s="44">
        <f t="shared" si="8"/>
        <v>5127.2938220144297</v>
      </c>
      <c r="I189" s="49">
        <v>210</v>
      </c>
      <c r="J189" s="41">
        <f t="shared" si="9"/>
        <v>107.673170262303</v>
      </c>
    </row>
    <row r="190" spans="1:10" ht="14.5">
      <c r="A190" s="12" t="s">
        <v>141</v>
      </c>
      <c r="B190" s="12" t="s">
        <v>82</v>
      </c>
      <c r="C190" s="12" t="s">
        <v>83</v>
      </c>
      <c r="D190" s="12" t="s">
        <v>165</v>
      </c>
      <c r="E190" s="12" t="s">
        <v>166</v>
      </c>
      <c r="F190" s="48">
        <v>1</v>
      </c>
      <c r="G190" s="23">
        <v>0.02</v>
      </c>
      <c r="H190" s="44">
        <f t="shared" si="8"/>
        <v>5178.0591073809101</v>
      </c>
      <c r="I190" s="49">
        <v>95</v>
      </c>
      <c r="J190" s="41">
        <f t="shared" si="9"/>
        <v>49.191561520118697</v>
      </c>
    </row>
    <row r="191" spans="1:10" ht="14.5">
      <c r="A191" s="12" t="s">
        <v>141</v>
      </c>
      <c r="B191" s="12" t="s">
        <v>82</v>
      </c>
      <c r="C191" s="12" t="s">
        <v>83</v>
      </c>
      <c r="D191" s="12" t="s">
        <v>171</v>
      </c>
      <c r="E191" s="12" t="s">
        <v>172</v>
      </c>
      <c r="F191" s="48">
        <v>1</v>
      </c>
      <c r="G191" s="23">
        <v>1.4999999999999999E-2</v>
      </c>
      <c r="H191" s="44">
        <f t="shared" si="8"/>
        <v>5152.6764646976699</v>
      </c>
      <c r="I191" s="49">
        <v>88</v>
      </c>
      <c r="J191" s="41">
        <f t="shared" si="9"/>
        <v>45.343552889339499</v>
      </c>
    </row>
    <row r="192" spans="1:10" ht="14.5">
      <c r="A192" s="12" t="s">
        <v>141</v>
      </c>
      <c r="B192" s="12" t="s">
        <v>82</v>
      </c>
      <c r="C192" s="12" t="s">
        <v>83</v>
      </c>
      <c r="D192" s="12" t="s">
        <v>188</v>
      </c>
      <c r="E192" s="12" t="s">
        <v>189</v>
      </c>
      <c r="F192" s="48">
        <v>1</v>
      </c>
      <c r="G192" s="23">
        <v>0.01</v>
      </c>
      <c r="H192" s="44">
        <f t="shared" si="8"/>
        <v>5127.2938220144297</v>
      </c>
      <c r="I192" s="49">
        <v>28</v>
      </c>
      <c r="J192" s="41">
        <f t="shared" si="9"/>
        <v>14.356422701640399</v>
      </c>
    </row>
    <row r="193" spans="1:10" ht="14.5">
      <c r="A193" s="12" t="s">
        <v>141</v>
      </c>
      <c r="B193" s="12" t="s">
        <v>88</v>
      </c>
      <c r="C193" s="12" t="s">
        <v>89</v>
      </c>
      <c r="D193" s="12" t="s">
        <v>159</v>
      </c>
      <c r="E193" s="12" t="s">
        <v>160</v>
      </c>
      <c r="F193" s="48">
        <v>1</v>
      </c>
      <c r="G193" s="23">
        <v>0.01</v>
      </c>
      <c r="H193" s="44">
        <f t="shared" si="8"/>
        <v>6482.54765344511</v>
      </c>
      <c r="I193" s="49">
        <v>210</v>
      </c>
      <c r="J193" s="41">
        <f t="shared" si="9"/>
        <v>136.13350072234701</v>
      </c>
    </row>
    <row r="194" spans="1:10" ht="14.5">
      <c r="A194" s="12" t="s">
        <v>141</v>
      </c>
      <c r="B194" s="12" t="s">
        <v>88</v>
      </c>
      <c r="C194" s="12" t="s">
        <v>89</v>
      </c>
      <c r="D194" s="12" t="s">
        <v>171</v>
      </c>
      <c r="E194" s="12" t="s">
        <v>172</v>
      </c>
      <c r="F194" s="48">
        <v>1</v>
      </c>
      <c r="G194" s="23">
        <v>1.4999999999999999E-2</v>
      </c>
      <c r="H194" s="44">
        <f t="shared" si="8"/>
        <v>6514.6394735116701</v>
      </c>
      <c r="I194" s="49">
        <v>88</v>
      </c>
      <c r="J194" s="41">
        <f t="shared" si="9"/>
        <v>57.328827366902701</v>
      </c>
    </row>
    <row r="195" spans="1:10" ht="14.5">
      <c r="A195" s="12" t="s">
        <v>141</v>
      </c>
      <c r="B195" s="12" t="s">
        <v>88</v>
      </c>
      <c r="C195" s="12" t="s">
        <v>89</v>
      </c>
      <c r="D195" s="12" t="s">
        <v>176</v>
      </c>
      <c r="E195" s="12" t="s">
        <v>177</v>
      </c>
      <c r="F195" s="48">
        <v>1</v>
      </c>
      <c r="G195" s="23">
        <v>0.02</v>
      </c>
      <c r="H195" s="44">
        <f t="shared" si="8"/>
        <v>6546.7312935782302</v>
      </c>
      <c r="I195" s="49">
        <v>72</v>
      </c>
      <c r="J195" s="41">
        <f t="shared" si="9"/>
        <v>47.136465313763303</v>
      </c>
    </row>
    <row r="196" spans="1:10" ht="14.5">
      <c r="A196" s="12" t="s">
        <v>141</v>
      </c>
      <c r="B196" s="12" t="s">
        <v>88</v>
      </c>
      <c r="C196" s="12" t="s">
        <v>89</v>
      </c>
      <c r="D196" s="12" t="s">
        <v>179</v>
      </c>
      <c r="E196" s="12" t="s">
        <v>180</v>
      </c>
      <c r="F196" s="48">
        <v>1</v>
      </c>
      <c r="G196" s="23">
        <v>0.02</v>
      </c>
      <c r="H196" s="44">
        <f t="shared" si="8"/>
        <v>6546.7312935782302</v>
      </c>
      <c r="I196" s="49">
        <v>65</v>
      </c>
      <c r="J196" s="41">
        <f t="shared" si="9"/>
        <v>42.553753408258501</v>
      </c>
    </row>
    <row r="197" spans="1:10" ht="14.5">
      <c r="A197" s="12" t="s">
        <v>141</v>
      </c>
      <c r="B197" s="12" t="s">
        <v>88</v>
      </c>
      <c r="C197" s="12" t="s">
        <v>89</v>
      </c>
      <c r="D197" s="12" t="s">
        <v>188</v>
      </c>
      <c r="E197" s="12" t="s">
        <v>189</v>
      </c>
      <c r="F197" s="48">
        <v>1</v>
      </c>
      <c r="G197" s="23">
        <v>0.01</v>
      </c>
      <c r="H197" s="44">
        <f t="shared" si="8"/>
        <v>6482.54765344511</v>
      </c>
      <c r="I197" s="49">
        <v>28</v>
      </c>
      <c r="J197" s="41">
        <f t="shared" si="9"/>
        <v>18.1511334296463</v>
      </c>
    </row>
    <row r="198" spans="1:10" ht="14.5">
      <c r="A198" s="12" t="s">
        <v>141</v>
      </c>
      <c r="B198" s="12" t="s">
        <v>93</v>
      </c>
      <c r="C198" s="12" t="s">
        <v>94</v>
      </c>
      <c r="D198" s="12" t="s">
        <v>171</v>
      </c>
      <c r="E198" s="12" t="s">
        <v>172</v>
      </c>
      <c r="F198" s="48">
        <v>1</v>
      </c>
      <c r="G198" s="23">
        <v>1.4999999999999999E-2</v>
      </c>
      <c r="H198" s="44">
        <f t="shared" si="8"/>
        <v>2384.47561624132</v>
      </c>
      <c r="I198" s="49">
        <v>88</v>
      </c>
      <c r="J198" s="41">
        <f t="shared" si="9"/>
        <v>20.9833854229237</v>
      </c>
    </row>
    <row r="199" spans="1:10" ht="14.5">
      <c r="A199" s="12" t="s">
        <v>141</v>
      </c>
      <c r="B199" s="12" t="s">
        <v>93</v>
      </c>
      <c r="C199" s="12" t="s">
        <v>94</v>
      </c>
      <c r="D199" s="12" t="s">
        <v>183</v>
      </c>
      <c r="E199" s="12" t="s">
        <v>184</v>
      </c>
      <c r="F199" s="48">
        <v>1</v>
      </c>
      <c r="G199" s="23">
        <v>0.02</v>
      </c>
      <c r="H199" s="44">
        <f t="shared" si="8"/>
        <v>2396.2218015430099</v>
      </c>
      <c r="I199" s="49">
        <v>185</v>
      </c>
      <c r="J199" s="41">
        <f t="shared" si="9"/>
        <v>44.330103328545597</v>
      </c>
    </row>
    <row r="200" spans="1:10" ht="14.5">
      <c r="A200" s="12" t="s">
        <v>141</v>
      </c>
      <c r="B200" s="12" t="s">
        <v>93</v>
      </c>
      <c r="C200" s="12" t="s">
        <v>94</v>
      </c>
      <c r="D200" s="12" t="s">
        <v>186</v>
      </c>
      <c r="E200" s="12" t="s">
        <v>187</v>
      </c>
      <c r="F200" s="48">
        <v>1</v>
      </c>
      <c r="G200" s="23">
        <v>0.02</v>
      </c>
      <c r="H200" s="44">
        <f t="shared" si="8"/>
        <v>2396.2218015430099</v>
      </c>
      <c r="I200" s="49">
        <v>128</v>
      </c>
      <c r="J200" s="41">
        <f t="shared" si="9"/>
        <v>30.6716390597505</v>
      </c>
    </row>
    <row r="201" spans="1:10" ht="14.5">
      <c r="A201" s="12" t="s">
        <v>141</v>
      </c>
      <c r="B201" s="12" t="s">
        <v>93</v>
      </c>
      <c r="C201" s="12" t="s">
        <v>94</v>
      </c>
      <c r="D201" s="12" t="s">
        <v>188</v>
      </c>
      <c r="E201" s="12" t="s">
        <v>189</v>
      </c>
      <c r="F201" s="48">
        <v>1</v>
      </c>
      <c r="G201" s="23">
        <v>0.01</v>
      </c>
      <c r="H201" s="44">
        <f t="shared" si="8"/>
        <v>2372.7294309396402</v>
      </c>
      <c r="I201" s="49">
        <v>28</v>
      </c>
      <c r="J201" s="41">
        <f t="shared" si="9"/>
        <v>6.6436424066309998</v>
      </c>
    </row>
    <row r="203" spans="1:10" ht="8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</row>
  </sheetData>
  <mergeCells count="4">
    <mergeCell ref="A1:J1"/>
    <mergeCell ref="A2:J2"/>
    <mergeCell ref="A4:G4"/>
    <mergeCell ref="A44:J44"/>
  </mergeCells>
  <phoneticPr fontId="20" type="noConversion"/>
  <pageMargins left="0.7" right="0.7" top="0.75" bottom="0.75" header="0.3" footer="0.3"/>
  <legacy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2"/>
  <sheetViews>
    <sheetView showGridLines="0" workbookViewId="0">
      <selection sqref="A1:H1"/>
    </sheetView>
  </sheetViews>
  <sheetFormatPr defaultColWidth="9" defaultRowHeight="14"/>
  <cols>
    <col min="1" max="1" width="10" customWidth="1"/>
    <col min="2" max="2" width="14" customWidth="1"/>
    <col min="3" max="4" width="18" customWidth="1"/>
    <col min="5" max="5" width="15" customWidth="1"/>
    <col min="6" max="6" width="14" customWidth="1"/>
    <col min="7" max="7" width="15" customWidth="1"/>
    <col min="8" max="8" width="18" customWidth="1"/>
  </cols>
  <sheetData>
    <row r="1" spans="1:8" ht="34" customHeight="1">
      <c r="A1" s="65" t="s">
        <v>240</v>
      </c>
      <c r="B1" s="65"/>
      <c r="C1" s="65"/>
      <c r="D1" s="65"/>
      <c r="E1" s="65"/>
      <c r="F1" s="65"/>
      <c r="G1" s="65"/>
      <c r="H1" s="65"/>
    </row>
    <row r="2" spans="1:8" ht="26" customHeight="1">
      <c r="A2" s="66" t="s">
        <v>241</v>
      </c>
      <c r="B2" s="66"/>
      <c r="C2" s="66"/>
      <c r="D2" s="66"/>
      <c r="E2" s="66"/>
      <c r="F2" s="66"/>
      <c r="G2" s="66"/>
      <c r="H2" s="66"/>
    </row>
    <row r="3" spans="1:8" ht="16.5">
      <c r="A3" s="3"/>
      <c r="B3" s="3"/>
      <c r="C3" s="3"/>
      <c r="D3" s="3"/>
      <c r="E3" s="3"/>
      <c r="F3" s="3"/>
      <c r="G3" s="3"/>
      <c r="H3" s="3"/>
    </row>
    <row r="4" spans="1:8" ht="16.5">
      <c r="A4" s="4" t="s">
        <v>230</v>
      </c>
      <c r="B4" s="5" t="s">
        <v>149</v>
      </c>
      <c r="C4" s="5" t="s">
        <v>150</v>
      </c>
      <c r="D4" s="5" t="s">
        <v>152</v>
      </c>
      <c r="E4" s="5" t="s">
        <v>238</v>
      </c>
      <c r="F4" s="5" t="s">
        <v>154</v>
      </c>
      <c r="G4" s="5" t="s">
        <v>242</v>
      </c>
      <c r="H4" s="6" t="s">
        <v>243</v>
      </c>
    </row>
    <row r="5" spans="1:8" ht="14.5">
      <c r="A5" s="10" t="s">
        <v>130</v>
      </c>
      <c r="B5" s="10" t="s">
        <v>159</v>
      </c>
      <c r="C5" s="10" t="s">
        <v>160</v>
      </c>
      <c r="D5" s="10" t="s">
        <v>161</v>
      </c>
      <c r="E5" s="42">
        <f>SUMIFS('04_BOM生产'!$H$46:$H$201,'04_BOM生产'!$A$46:$A$201,A5,'04_BOM生产'!$D$46:$D$201,B5)</f>
        <v>6902.3562793047904</v>
      </c>
      <c r="F5" s="43">
        <v>0.02</v>
      </c>
      <c r="G5" s="42">
        <f t="shared" ref="G5:G68" si="0">E5*(1+F5)</f>
        <v>7040.4034048908898</v>
      </c>
      <c r="H5" s="40">
        <f>G5*SUMIFS('01_主数据假设'!$J$26:$J$33,'01_主数据假设'!$H$26:$H$33,B5)/10000</f>
        <v>147.848471502709</v>
      </c>
    </row>
    <row r="6" spans="1:8" ht="14.5">
      <c r="A6" s="12" t="s">
        <v>130</v>
      </c>
      <c r="B6" s="12" t="s">
        <v>165</v>
      </c>
      <c r="C6" s="12" t="s">
        <v>166</v>
      </c>
      <c r="D6" s="12" t="s">
        <v>167</v>
      </c>
      <c r="E6" s="44">
        <f>SUMIFS('04_BOM生产'!$H$46:$H$201,'04_BOM生产'!$A$46:$A$201,A6,'04_BOM生产'!$D$46:$D$201,B6)</f>
        <v>3078.4924040513001</v>
      </c>
      <c r="F6" s="45">
        <v>0.02</v>
      </c>
      <c r="G6" s="44">
        <f t="shared" si="0"/>
        <v>3140.0622521323298</v>
      </c>
      <c r="H6" s="41">
        <f>G6*SUMIFS('01_主数据假设'!$J$26:$J$33,'01_主数据假设'!$H$26:$H$33,B6)/10000</f>
        <v>29.830591395257098</v>
      </c>
    </row>
    <row r="7" spans="1:8" ht="14.5">
      <c r="A7" s="12" t="s">
        <v>130</v>
      </c>
      <c r="B7" s="12" t="s">
        <v>171</v>
      </c>
      <c r="C7" s="12" t="s">
        <v>172</v>
      </c>
      <c r="D7" s="12" t="s">
        <v>173</v>
      </c>
      <c r="E7" s="44">
        <f>SUMIFS('04_BOM生产'!$H$46:$H$201,'04_BOM生产'!$A$46:$A$201,A7,'04_BOM生产'!$D$46:$D$201,B7)</f>
        <v>8437.7092695986394</v>
      </c>
      <c r="F7" s="45">
        <v>0.03</v>
      </c>
      <c r="G7" s="44">
        <f t="shared" si="0"/>
        <v>8690.8405476865992</v>
      </c>
      <c r="H7" s="41">
        <f>G7*SUMIFS('01_主数据假设'!$J$26:$J$33,'01_主数据假设'!$H$26:$H$33,B7)/10000</f>
        <v>76.479396819642105</v>
      </c>
    </row>
    <row r="8" spans="1:8" ht="14.5">
      <c r="A8" s="12" t="s">
        <v>130</v>
      </c>
      <c r="B8" s="12" t="s">
        <v>176</v>
      </c>
      <c r="C8" s="12" t="s">
        <v>177</v>
      </c>
      <c r="D8" s="12" t="s">
        <v>178</v>
      </c>
      <c r="E8" s="44">
        <f>SUMIFS('04_BOM生产'!$H$46:$H$201,'04_BOM生产'!$A$46:$A$201,A8,'04_BOM生产'!$D$46:$D$201,B8)</f>
        <v>3892.2040364347199</v>
      </c>
      <c r="F8" s="45">
        <v>0.02</v>
      </c>
      <c r="G8" s="44">
        <f t="shared" si="0"/>
        <v>3970.0481171634101</v>
      </c>
      <c r="H8" s="41">
        <f>G8*SUMIFS('01_主数据假设'!$J$26:$J$33,'01_主数据假设'!$H$26:$H$33,B8)/10000</f>
        <v>28.584346443576599</v>
      </c>
    </row>
    <row r="9" spans="1:8" ht="14.5">
      <c r="A9" s="12" t="s">
        <v>130</v>
      </c>
      <c r="B9" s="12" t="s">
        <v>179</v>
      </c>
      <c r="C9" s="12" t="s">
        <v>180</v>
      </c>
      <c r="D9" s="12" t="s">
        <v>181</v>
      </c>
      <c r="E9" s="44">
        <f>SUMIFS('04_BOM生产'!$H$46:$H$201,'04_BOM生产'!$A$46:$A$201,A9,'04_BOM生产'!$D$46:$D$201,B9)</f>
        <v>3892.2040364347199</v>
      </c>
      <c r="F9" s="45">
        <v>0.02</v>
      </c>
      <c r="G9" s="44">
        <f t="shared" si="0"/>
        <v>3970.0481171634101</v>
      </c>
      <c r="H9" s="41">
        <f>G9*SUMIFS('01_主数据假设'!$J$26:$J$33,'01_主数据假设'!$H$26:$H$33,B9)/10000</f>
        <v>25.805312761562199</v>
      </c>
    </row>
    <row r="10" spans="1:8" ht="14.5">
      <c r="A10" s="12" t="s">
        <v>130</v>
      </c>
      <c r="B10" s="12" t="s">
        <v>183</v>
      </c>
      <c r="C10" s="12" t="s">
        <v>184</v>
      </c>
      <c r="D10" s="12" t="s">
        <v>185</v>
      </c>
      <c r="E10" s="44">
        <f>SUMIFS('04_BOM生产'!$H$46:$H$201,'04_BOM生产'!$A$46:$A$201,A10,'04_BOM生产'!$D$46:$D$201,B10)</f>
        <v>1508.57789940621</v>
      </c>
      <c r="F10" s="45">
        <v>0.03</v>
      </c>
      <c r="G10" s="44">
        <f t="shared" si="0"/>
        <v>1553.8352363883901</v>
      </c>
      <c r="H10" s="41">
        <f>G10*SUMIFS('01_主数据假设'!$J$26:$J$33,'01_主数据假设'!$H$26:$H$33,B10)/10000</f>
        <v>28.745951873185199</v>
      </c>
    </row>
    <row r="11" spans="1:8" ht="14.5">
      <c r="A11" s="12" t="s">
        <v>130</v>
      </c>
      <c r="B11" s="12" t="s">
        <v>186</v>
      </c>
      <c r="C11" s="12" t="s">
        <v>187</v>
      </c>
      <c r="D11" s="12" t="s">
        <v>185</v>
      </c>
      <c r="E11" s="44">
        <f>SUMIFS('04_BOM生产'!$H$46:$H$201,'04_BOM生产'!$A$46:$A$201,A11,'04_BOM生产'!$D$46:$D$201,B11)</f>
        <v>1508.57789940621</v>
      </c>
      <c r="F11" s="45">
        <v>0.03</v>
      </c>
      <c r="G11" s="44">
        <f t="shared" si="0"/>
        <v>1553.8352363883901</v>
      </c>
      <c r="H11" s="41">
        <f>G11*SUMIFS('01_主数据假设'!$J$26:$J$33,'01_主数据假设'!$H$26:$H$33,B11)/10000</f>
        <v>19.8890910257714</v>
      </c>
    </row>
    <row r="12" spans="1:8" ht="14.5">
      <c r="A12" s="12" t="s">
        <v>130</v>
      </c>
      <c r="B12" s="12" t="s">
        <v>188</v>
      </c>
      <c r="C12" s="12" t="s">
        <v>189</v>
      </c>
      <c r="D12" s="12" t="s">
        <v>190</v>
      </c>
      <c r="E12" s="44">
        <f>SUMIFS('04_BOM生产'!$H$46:$H$201,'04_BOM生产'!$A$46:$A$201,A12,'04_BOM生产'!$D$46:$D$201,B12)</f>
        <v>8396.1441993050503</v>
      </c>
      <c r="F12" s="45">
        <v>0.01</v>
      </c>
      <c r="G12" s="44">
        <f t="shared" si="0"/>
        <v>8480.1056412980997</v>
      </c>
      <c r="H12" s="41">
        <f>G12*SUMIFS('01_主数据假设'!$J$26:$J$33,'01_主数据假设'!$H$26:$H$33,B12)/10000</f>
        <v>23.744295795634699</v>
      </c>
    </row>
    <row r="13" spans="1:8" ht="14.5">
      <c r="A13" s="12" t="s">
        <v>131</v>
      </c>
      <c r="B13" s="12" t="s">
        <v>159</v>
      </c>
      <c r="C13" s="12" t="s">
        <v>160</v>
      </c>
      <c r="D13" s="12" t="s">
        <v>161</v>
      </c>
      <c r="E13" s="44">
        <f>SUMIFS('04_BOM生产'!$H$46:$H$201,'04_BOM生产'!$A$46:$A$201,A13,'04_BOM生产'!$D$46:$D$201,B13)</f>
        <v>6012.6757957116797</v>
      </c>
      <c r="F13" s="45">
        <v>0.02</v>
      </c>
      <c r="G13" s="44">
        <f t="shared" si="0"/>
        <v>6132.9293116259096</v>
      </c>
      <c r="H13" s="41">
        <f>G13*SUMIFS('01_主数据假设'!$J$26:$J$33,'01_主数据假设'!$H$26:$H$33,B13)/10000</f>
        <v>128.791515544144</v>
      </c>
    </row>
    <row r="14" spans="1:8" ht="14.5">
      <c r="A14" s="12" t="s">
        <v>131</v>
      </c>
      <c r="B14" s="12" t="s">
        <v>165</v>
      </c>
      <c r="C14" s="12" t="s">
        <v>166</v>
      </c>
      <c r="D14" s="12" t="s">
        <v>167</v>
      </c>
      <c r="E14" s="44">
        <f>SUMIFS('04_BOM生产'!$H$46:$H$201,'04_BOM生产'!$A$46:$A$201,A14,'04_BOM生产'!$D$46:$D$201,B14)</f>
        <v>2681.6895587699</v>
      </c>
      <c r="F14" s="45">
        <v>0.02</v>
      </c>
      <c r="G14" s="44">
        <f t="shared" si="0"/>
        <v>2735.3233499452999</v>
      </c>
      <c r="H14" s="41">
        <f>G14*SUMIFS('01_主数据假设'!$J$26:$J$33,'01_主数据假设'!$H$26:$H$33,B14)/10000</f>
        <v>25.985571824480399</v>
      </c>
    </row>
    <row r="15" spans="1:8" ht="14.5">
      <c r="A15" s="12" t="s">
        <v>131</v>
      </c>
      <c r="B15" s="12" t="s">
        <v>171</v>
      </c>
      <c r="C15" s="12" t="s">
        <v>172</v>
      </c>
      <c r="D15" s="12" t="s">
        <v>173</v>
      </c>
      <c r="E15" s="44">
        <f>SUMIFS('04_BOM生产'!$H$46:$H$201,'04_BOM生产'!$A$46:$A$201,A15,'04_BOM生产'!$D$46:$D$201,B15)</f>
        <v>7323.8379790701401</v>
      </c>
      <c r="F15" s="45">
        <v>0.03</v>
      </c>
      <c r="G15" s="44">
        <f t="shared" si="0"/>
        <v>7543.5531184422398</v>
      </c>
      <c r="H15" s="41">
        <f>G15*SUMIFS('01_主数据假设'!$J$26:$J$33,'01_主数据假设'!$H$26:$H$33,B15)/10000</f>
        <v>66.383267442291697</v>
      </c>
    </row>
    <row r="16" spans="1:8" ht="14.5">
      <c r="A16" s="12" t="s">
        <v>131</v>
      </c>
      <c r="B16" s="12" t="s">
        <v>176</v>
      </c>
      <c r="C16" s="12" t="s">
        <v>177</v>
      </c>
      <c r="D16" s="12" t="s">
        <v>178</v>
      </c>
      <c r="E16" s="44">
        <f>SUMIFS('04_BOM生产'!$H$46:$H$201,'04_BOM生产'!$A$46:$A$201,A16,'04_BOM生产'!$D$46:$D$201,B16)</f>
        <v>3390.5176804636699</v>
      </c>
      <c r="F16" s="45">
        <v>0.02</v>
      </c>
      <c r="G16" s="44">
        <f t="shared" si="0"/>
        <v>3458.3280340729498</v>
      </c>
      <c r="H16" s="41">
        <f>G16*SUMIFS('01_主数据假设'!$J$26:$J$33,'01_主数据假设'!$H$26:$H$33,B16)/10000</f>
        <v>24.899961845325201</v>
      </c>
    </row>
    <row r="17" spans="1:8" ht="14.5">
      <c r="A17" s="12" t="s">
        <v>131</v>
      </c>
      <c r="B17" s="12" t="s">
        <v>179</v>
      </c>
      <c r="C17" s="12" t="s">
        <v>180</v>
      </c>
      <c r="D17" s="12" t="s">
        <v>181</v>
      </c>
      <c r="E17" s="44">
        <f>SUMIFS('04_BOM生产'!$H$46:$H$201,'04_BOM生产'!$A$46:$A$201,A17,'04_BOM生产'!$D$46:$D$201,B17)</f>
        <v>3390.5176804636699</v>
      </c>
      <c r="F17" s="45">
        <v>0.02</v>
      </c>
      <c r="G17" s="44">
        <f t="shared" si="0"/>
        <v>3458.3280340729498</v>
      </c>
      <c r="H17" s="41">
        <f>G17*SUMIFS('01_主数据假设'!$J$26:$J$33,'01_主数据假设'!$H$26:$H$33,B17)/10000</f>
        <v>22.479132221474199</v>
      </c>
    </row>
    <row r="18" spans="1:8" ht="14.5">
      <c r="A18" s="12" t="s">
        <v>131</v>
      </c>
      <c r="B18" s="12" t="s">
        <v>183</v>
      </c>
      <c r="C18" s="12" t="s">
        <v>184</v>
      </c>
      <c r="D18" s="12" t="s">
        <v>185</v>
      </c>
      <c r="E18" s="44">
        <f>SUMIFS('04_BOM生产'!$H$46:$H$201,'04_BOM生产'!$A$46:$A$201,A18,'04_BOM生产'!$D$46:$D$201,B18)</f>
        <v>1287.70875943789</v>
      </c>
      <c r="F18" s="45">
        <v>0.03</v>
      </c>
      <c r="G18" s="44">
        <f t="shared" si="0"/>
        <v>1326.34002222103</v>
      </c>
      <c r="H18" s="41">
        <f>G18*SUMIFS('01_主数据假设'!$J$26:$J$33,'01_主数据假设'!$H$26:$H$33,B18)/10000</f>
        <v>24.537290411089099</v>
      </c>
    </row>
    <row r="19" spans="1:8" ht="14.5">
      <c r="A19" s="12" t="s">
        <v>131</v>
      </c>
      <c r="B19" s="12" t="s">
        <v>186</v>
      </c>
      <c r="C19" s="12" t="s">
        <v>187</v>
      </c>
      <c r="D19" s="12" t="s">
        <v>185</v>
      </c>
      <c r="E19" s="44">
        <f>SUMIFS('04_BOM生产'!$H$46:$H$201,'04_BOM生产'!$A$46:$A$201,A19,'04_BOM生产'!$D$46:$D$201,B19)</f>
        <v>1287.70875943789</v>
      </c>
      <c r="F19" s="45">
        <v>0.03</v>
      </c>
      <c r="G19" s="44">
        <f t="shared" si="0"/>
        <v>1326.34002222103</v>
      </c>
      <c r="H19" s="41">
        <f>G19*SUMIFS('01_主数据假设'!$J$26:$J$33,'01_主数据假设'!$H$26:$H$33,B19)/10000</f>
        <v>16.977152284429199</v>
      </c>
    </row>
    <row r="20" spans="1:8" ht="14.5">
      <c r="A20" s="12" t="s">
        <v>131</v>
      </c>
      <c r="B20" s="12" t="s">
        <v>188</v>
      </c>
      <c r="C20" s="12" t="s">
        <v>189</v>
      </c>
      <c r="D20" s="12" t="s">
        <v>190</v>
      </c>
      <c r="E20" s="44">
        <f>SUMIFS('04_BOM生产'!$H$46:$H$201,'04_BOM生产'!$A$46:$A$201,A20,'04_BOM生产'!$D$46:$D$201,B20)</f>
        <v>7287.7599594688099</v>
      </c>
      <c r="F20" s="45">
        <v>0.01</v>
      </c>
      <c r="G20" s="44">
        <f t="shared" si="0"/>
        <v>7360.6375590634998</v>
      </c>
      <c r="H20" s="41">
        <f>G20*SUMIFS('01_主数据假设'!$J$26:$J$33,'01_主数据假设'!$H$26:$H$33,B20)/10000</f>
        <v>20.609785165377801</v>
      </c>
    </row>
    <row r="21" spans="1:8" ht="14.5">
      <c r="A21" s="12" t="s">
        <v>132</v>
      </c>
      <c r="B21" s="12" t="s">
        <v>159</v>
      </c>
      <c r="C21" s="12" t="s">
        <v>160</v>
      </c>
      <c r="D21" s="12" t="s">
        <v>161</v>
      </c>
      <c r="E21" s="44">
        <f>SUMIFS('04_BOM生产'!$H$46:$H$201,'04_BOM生产'!$A$46:$A$201,A21,'04_BOM生产'!$D$46:$D$201,B21)</f>
        <v>6917.02134222116</v>
      </c>
      <c r="F21" s="45">
        <v>0.02</v>
      </c>
      <c r="G21" s="44">
        <f t="shared" si="0"/>
        <v>7055.3617690655801</v>
      </c>
      <c r="H21" s="41">
        <f>G21*SUMIFS('01_主数据假设'!$J$26:$J$33,'01_主数据假设'!$H$26:$H$33,B21)/10000</f>
        <v>148.162597150377</v>
      </c>
    </row>
    <row r="22" spans="1:8" ht="14.5">
      <c r="A22" s="12" t="s">
        <v>132</v>
      </c>
      <c r="B22" s="12" t="s">
        <v>165</v>
      </c>
      <c r="C22" s="12" t="s">
        <v>166</v>
      </c>
      <c r="D22" s="12" t="s">
        <v>167</v>
      </c>
      <c r="E22" s="44">
        <f>SUMIFS('04_BOM生产'!$H$46:$H$201,'04_BOM生产'!$A$46:$A$201,A22,'04_BOM生产'!$D$46:$D$201,B22)</f>
        <v>3085.03311029221</v>
      </c>
      <c r="F22" s="45">
        <v>0.02</v>
      </c>
      <c r="G22" s="44">
        <f t="shared" si="0"/>
        <v>3146.7337724980498</v>
      </c>
      <c r="H22" s="41">
        <f>G22*SUMIFS('01_主数据假设'!$J$26:$J$33,'01_主数据假设'!$H$26:$H$33,B22)/10000</f>
        <v>29.893970838731502</v>
      </c>
    </row>
    <row r="23" spans="1:8" ht="14.5">
      <c r="A23" s="12" t="s">
        <v>132</v>
      </c>
      <c r="B23" s="12" t="s">
        <v>171</v>
      </c>
      <c r="C23" s="12" t="s">
        <v>172</v>
      </c>
      <c r="D23" s="12" t="s">
        <v>173</v>
      </c>
      <c r="E23" s="44">
        <f>SUMIFS('04_BOM生产'!$H$46:$H$201,'04_BOM生产'!$A$46:$A$201,A23,'04_BOM生产'!$D$46:$D$201,B23)</f>
        <v>8421.3450759723601</v>
      </c>
      <c r="F23" s="45">
        <v>0.03</v>
      </c>
      <c r="G23" s="44">
        <f t="shared" si="0"/>
        <v>8673.9854282515298</v>
      </c>
      <c r="H23" s="41">
        <f>G23*SUMIFS('01_主数据假设'!$J$26:$J$33,'01_主数据假设'!$H$26:$H$33,B23)/10000</f>
        <v>76.331071768613498</v>
      </c>
    </row>
    <row r="24" spans="1:8" ht="14.5">
      <c r="A24" s="12" t="s">
        <v>132</v>
      </c>
      <c r="B24" s="12" t="s">
        <v>176</v>
      </c>
      <c r="C24" s="12" t="s">
        <v>177</v>
      </c>
      <c r="D24" s="12" t="s">
        <v>178</v>
      </c>
      <c r="E24" s="44">
        <f>SUMIFS('04_BOM生产'!$H$46:$H$201,'04_BOM生产'!$A$46:$A$201,A24,'04_BOM生产'!$D$46:$D$201,B24)</f>
        <v>3900.4735917529201</v>
      </c>
      <c r="F24" s="45">
        <v>0.02</v>
      </c>
      <c r="G24" s="44">
        <f t="shared" si="0"/>
        <v>3978.4830635879798</v>
      </c>
      <c r="H24" s="41">
        <f>G24*SUMIFS('01_主数据假设'!$J$26:$J$33,'01_主数据假设'!$H$26:$H$33,B24)/10000</f>
        <v>28.645078057833501</v>
      </c>
    </row>
    <row r="25" spans="1:8" ht="14.5">
      <c r="A25" s="12" t="s">
        <v>132</v>
      </c>
      <c r="B25" s="12" t="s">
        <v>179</v>
      </c>
      <c r="C25" s="12" t="s">
        <v>180</v>
      </c>
      <c r="D25" s="12" t="s">
        <v>181</v>
      </c>
      <c r="E25" s="44">
        <f>SUMIFS('04_BOM生产'!$H$46:$H$201,'04_BOM生产'!$A$46:$A$201,A25,'04_BOM生产'!$D$46:$D$201,B25)</f>
        <v>3900.4735917529201</v>
      </c>
      <c r="F25" s="45">
        <v>0.02</v>
      </c>
      <c r="G25" s="44">
        <f t="shared" si="0"/>
        <v>3978.4830635879798</v>
      </c>
      <c r="H25" s="41">
        <f>G25*SUMIFS('01_主数据假设'!$J$26:$J$33,'01_主数据假设'!$H$26:$H$33,B25)/10000</f>
        <v>25.860139913321898</v>
      </c>
    </row>
    <row r="26" spans="1:8" ht="14.5">
      <c r="A26" s="12" t="s">
        <v>132</v>
      </c>
      <c r="B26" s="12" t="s">
        <v>183</v>
      </c>
      <c r="C26" s="12" t="s">
        <v>184</v>
      </c>
      <c r="D26" s="12" t="s">
        <v>185</v>
      </c>
      <c r="E26" s="44">
        <f>SUMIFS('04_BOM生产'!$H$46:$H$201,'04_BOM生产'!$A$46:$A$201,A26,'04_BOM生产'!$D$46:$D$201,B26)</f>
        <v>1477.3228324295601</v>
      </c>
      <c r="F26" s="45">
        <v>0.03</v>
      </c>
      <c r="G26" s="44">
        <f t="shared" si="0"/>
        <v>1521.64251740244</v>
      </c>
      <c r="H26" s="41">
        <f>G26*SUMIFS('01_主数据假设'!$J$26:$J$33,'01_主数据假设'!$H$26:$H$33,B26)/10000</f>
        <v>28.150386571945202</v>
      </c>
    </row>
    <row r="27" spans="1:8" ht="14.5">
      <c r="A27" s="12" t="s">
        <v>132</v>
      </c>
      <c r="B27" s="12" t="s">
        <v>186</v>
      </c>
      <c r="C27" s="12" t="s">
        <v>187</v>
      </c>
      <c r="D27" s="12" t="s">
        <v>185</v>
      </c>
      <c r="E27" s="44">
        <f>SUMIFS('04_BOM生产'!$H$46:$H$201,'04_BOM生产'!$A$46:$A$201,A27,'04_BOM生产'!$D$46:$D$201,B27)</f>
        <v>1477.3228324295601</v>
      </c>
      <c r="F27" s="45">
        <v>0.03</v>
      </c>
      <c r="G27" s="44">
        <f t="shared" si="0"/>
        <v>1521.64251740244</v>
      </c>
      <c r="H27" s="41">
        <f>G27*SUMIFS('01_主数据假设'!$J$26:$J$33,'01_主数据假设'!$H$26:$H$33,B27)/10000</f>
        <v>19.4770242227513</v>
      </c>
    </row>
    <row r="28" spans="1:8" ht="14.5">
      <c r="A28" s="12" t="s">
        <v>132</v>
      </c>
      <c r="B28" s="12" t="s">
        <v>188</v>
      </c>
      <c r="C28" s="12" t="s">
        <v>189</v>
      </c>
      <c r="D28" s="12" t="s">
        <v>190</v>
      </c>
      <c r="E28" s="44">
        <f>SUMIFS('04_BOM生产'!$H$46:$H$201,'04_BOM生产'!$A$46:$A$201,A28,'04_BOM生产'!$D$46:$D$201,B28)</f>
        <v>8379.8606174700399</v>
      </c>
      <c r="F28" s="45">
        <v>0.01</v>
      </c>
      <c r="G28" s="44">
        <f t="shared" si="0"/>
        <v>8463.6592236447395</v>
      </c>
      <c r="H28" s="41">
        <f>G28*SUMIFS('01_主数据假设'!$J$26:$J$33,'01_主数据假设'!$H$26:$H$33,B28)/10000</f>
        <v>23.698245826205302</v>
      </c>
    </row>
    <row r="29" spans="1:8" ht="14.5">
      <c r="A29" s="12" t="s">
        <v>133</v>
      </c>
      <c r="B29" s="12" t="s">
        <v>159</v>
      </c>
      <c r="C29" s="12" t="s">
        <v>160</v>
      </c>
      <c r="D29" s="12" t="s">
        <v>161</v>
      </c>
      <c r="E29" s="44">
        <f>SUMIFS('04_BOM生产'!$H$46:$H$201,'04_BOM生产'!$A$46:$A$201,A29,'04_BOM生产'!$D$46:$D$201,B29)</f>
        <v>7332.5314581849698</v>
      </c>
      <c r="F29" s="45">
        <v>0.02</v>
      </c>
      <c r="G29" s="44">
        <f t="shared" si="0"/>
        <v>7479.1820873486704</v>
      </c>
      <c r="H29" s="41">
        <f>G29*SUMIFS('01_主数据假设'!$J$26:$J$33,'01_主数据假设'!$H$26:$H$33,B29)/10000</f>
        <v>157.06282383432199</v>
      </c>
    </row>
    <row r="30" spans="1:8" ht="14.5">
      <c r="A30" s="12" t="s">
        <v>133</v>
      </c>
      <c r="B30" s="12" t="s">
        <v>165</v>
      </c>
      <c r="C30" s="12" t="s">
        <v>166</v>
      </c>
      <c r="D30" s="12" t="s">
        <v>167</v>
      </c>
      <c r="E30" s="44">
        <f>SUMIFS('04_BOM生产'!$H$46:$H$201,'04_BOM生产'!$A$46:$A$201,A30,'04_BOM生产'!$D$46:$D$201,B30)</f>
        <v>3270.3531204511</v>
      </c>
      <c r="F30" s="45">
        <v>0.02</v>
      </c>
      <c r="G30" s="44">
        <f t="shared" si="0"/>
        <v>3335.76018286012</v>
      </c>
      <c r="H30" s="41">
        <f>G30*SUMIFS('01_主数据假设'!$J$26:$J$33,'01_主数据假设'!$H$26:$H$33,B30)/10000</f>
        <v>31.689721737171201</v>
      </c>
    </row>
    <row r="31" spans="1:8" ht="14.5">
      <c r="A31" s="12" t="s">
        <v>133</v>
      </c>
      <c r="B31" s="12" t="s">
        <v>171</v>
      </c>
      <c r="C31" s="12" t="s">
        <v>172</v>
      </c>
      <c r="D31" s="12" t="s">
        <v>173</v>
      </c>
      <c r="E31" s="44">
        <f>SUMIFS('04_BOM生产'!$H$46:$H$201,'04_BOM生产'!$A$46:$A$201,A31,'04_BOM生产'!$D$46:$D$201,B31)</f>
        <v>8923.9239120699203</v>
      </c>
      <c r="F31" s="45">
        <v>0.03</v>
      </c>
      <c r="G31" s="44">
        <f t="shared" si="0"/>
        <v>9191.6416294320206</v>
      </c>
      <c r="H31" s="41">
        <f>G31*SUMIFS('01_主数据假设'!$J$26:$J$33,'01_主数据假设'!$H$26:$H$33,B31)/10000</f>
        <v>80.886446339001793</v>
      </c>
    </row>
    <row r="32" spans="1:8" ht="14.5">
      <c r="A32" s="12" t="s">
        <v>133</v>
      </c>
      <c r="B32" s="12" t="s">
        <v>176</v>
      </c>
      <c r="C32" s="12" t="s">
        <v>177</v>
      </c>
      <c r="D32" s="12" t="s">
        <v>178</v>
      </c>
      <c r="E32" s="44">
        <f>SUMIFS('04_BOM生产'!$H$46:$H$201,'04_BOM生产'!$A$46:$A$201,A32,'04_BOM生产'!$D$46:$D$201,B32)</f>
        <v>4134.7776591020402</v>
      </c>
      <c r="F32" s="45">
        <v>0.02</v>
      </c>
      <c r="G32" s="44">
        <f t="shared" si="0"/>
        <v>4217.4732122840796</v>
      </c>
      <c r="H32" s="41">
        <f>G32*SUMIFS('01_主数据假设'!$J$26:$J$33,'01_主数据假设'!$H$26:$H$33,B32)/10000</f>
        <v>30.3658071284454</v>
      </c>
    </row>
    <row r="33" spans="1:8" ht="14.5">
      <c r="A33" s="12" t="s">
        <v>133</v>
      </c>
      <c r="B33" s="12" t="s">
        <v>179</v>
      </c>
      <c r="C33" s="12" t="s">
        <v>180</v>
      </c>
      <c r="D33" s="12" t="s">
        <v>181</v>
      </c>
      <c r="E33" s="44">
        <f>SUMIFS('04_BOM生产'!$H$46:$H$201,'04_BOM生产'!$A$46:$A$201,A33,'04_BOM生产'!$D$46:$D$201,B33)</f>
        <v>4134.7776591020402</v>
      </c>
      <c r="F33" s="45">
        <v>0.02</v>
      </c>
      <c r="G33" s="44">
        <f t="shared" si="0"/>
        <v>4217.4732122840796</v>
      </c>
      <c r="H33" s="41">
        <f>G33*SUMIFS('01_主数据假设'!$J$26:$J$33,'01_主数据假设'!$H$26:$H$33,B33)/10000</f>
        <v>27.413575879846501</v>
      </c>
    </row>
    <row r="34" spans="1:8" ht="14.5">
      <c r="A34" s="12" t="s">
        <v>133</v>
      </c>
      <c r="B34" s="12" t="s">
        <v>183</v>
      </c>
      <c r="C34" s="12" t="s">
        <v>184</v>
      </c>
      <c r="D34" s="12" t="s">
        <v>185</v>
      </c>
      <c r="E34" s="44">
        <f>SUMIFS('04_BOM生产'!$H$46:$H$201,'04_BOM生产'!$A$46:$A$201,A34,'04_BOM生产'!$D$46:$D$201,B34)</f>
        <v>1562.75334883239</v>
      </c>
      <c r="F34" s="45">
        <v>0.03</v>
      </c>
      <c r="G34" s="44">
        <f t="shared" si="0"/>
        <v>1609.63594929737</v>
      </c>
      <c r="H34" s="41">
        <f>G34*SUMIFS('01_主数据假设'!$J$26:$J$33,'01_主数据假设'!$H$26:$H$33,B34)/10000</f>
        <v>29.778265062001299</v>
      </c>
    </row>
    <row r="35" spans="1:8" ht="14.5">
      <c r="A35" s="12" t="s">
        <v>133</v>
      </c>
      <c r="B35" s="12" t="s">
        <v>186</v>
      </c>
      <c r="C35" s="12" t="s">
        <v>187</v>
      </c>
      <c r="D35" s="12" t="s">
        <v>185</v>
      </c>
      <c r="E35" s="44">
        <f>SUMIFS('04_BOM生产'!$H$46:$H$201,'04_BOM生产'!$A$46:$A$201,A35,'04_BOM生产'!$D$46:$D$201,B35)</f>
        <v>1562.75334883239</v>
      </c>
      <c r="F35" s="45">
        <v>0.03</v>
      </c>
      <c r="G35" s="44">
        <f t="shared" si="0"/>
        <v>1609.63594929737</v>
      </c>
      <c r="H35" s="41">
        <f>G35*SUMIFS('01_主数据假设'!$J$26:$J$33,'01_主数据假设'!$H$26:$H$33,B35)/10000</f>
        <v>20.6033401510063</v>
      </c>
    </row>
    <row r="36" spans="1:8" ht="14.5">
      <c r="A36" s="12" t="s">
        <v>133</v>
      </c>
      <c r="B36" s="12" t="s">
        <v>188</v>
      </c>
      <c r="C36" s="12" t="s">
        <v>189</v>
      </c>
      <c r="D36" s="12" t="s">
        <v>190</v>
      </c>
      <c r="E36" s="44">
        <f>SUMIFS('04_BOM生产'!$H$46:$H$201,'04_BOM生产'!$A$46:$A$201,A36,'04_BOM生产'!$D$46:$D$201,B36)</f>
        <v>8879.9636957543098</v>
      </c>
      <c r="F36" s="45">
        <v>0.01</v>
      </c>
      <c r="G36" s="44">
        <f t="shared" si="0"/>
        <v>8968.7633327118492</v>
      </c>
      <c r="H36" s="41">
        <f>G36*SUMIFS('01_主数据假设'!$J$26:$J$33,'01_主数据假设'!$H$26:$H$33,B36)/10000</f>
        <v>25.112537331593199</v>
      </c>
    </row>
    <row r="37" spans="1:8" ht="14.5">
      <c r="A37" s="12" t="s">
        <v>134</v>
      </c>
      <c r="B37" s="12" t="s">
        <v>159</v>
      </c>
      <c r="C37" s="12" t="s">
        <v>160</v>
      </c>
      <c r="D37" s="12" t="s">
        <v>161</v>
      </c>
      <c r="E37" s="44">
        <f>SUMIFS('04_BOM生产'!$H$46:$H$201,'04_BOM生产'!$A$46:$A$201,A37,'04_BOM生产'!$D$46:$D$201,B37)</f>
        <v>7405.8567727668196</v>
      </c>
      <c r="F37" s="45">
        <v>0.02</v>
      </c>
      <c r="G37" s="44">
        <f t="shared" si="0"/>
        <v>7553.9739082221604</v>
      </c>
      <c r="H37" s="41">
        <f>G37*SUMIFS('01_主数据假设'!$J$26:$J$33,'01_主数据假设'!$H$26:$H$33,B37)/10000</f>
        <v>158.63345207266499</v>
      </c>
    </row>
    <row r="38" spans="1:8" ht="14.5">
      <c r="A38" s="12" t="s">
        <v>134</v>
      </c>
      <c r="B38" s="12" t="s">
        <v>165</v>
      </c>
      <c r="C38" s="12" t="s">
        <v>166</v>
      </c>
      <c r="D38" s="12" t="s">
        <v>167</v>
      </c>
      <c r="E38" s="44">
        <f>SUMIFS('04_BOM生产'!$H$46:$H$201,'04_BOM生产'!$A$46:$A$201,A38,'04_BOM生产'!$D$46:$D$201,B38)</f>
        <v>3303.05665165561</v>
      </c>
      <c r="F38" s="45">
        <v>0.02</v>
      </c>
      <c r="G38" s="44">
        <f t="shared" si="0"/>
        <v>3369.1177846887199</v>
      </c>
      <c r="H38" s="41">
        <f>G38*SUMIFS('01_主数据假设'!$J$26:$J$33,'01_主数据假设'!$H$26:$H$33,B38)/10000</f>
        <v>32.006618954542901</v>
      </c>
    </row>
    <row r="39" spans="1:8" ht="14.5">
      <c r="A39" s="12" t="s">
        <v>134</v>
      </c>
      <c r="B39" s="12" t="s">
        <v>171</v>
      </c>
      <c r="C39" s="12" t="s">
        <v>172</v>
      </c>
      <c r="D39" s="12" t="s">
        <v>173</v>
      </c>
      <c r="E39" s="44">
        <f>SUMIFS('04_BOM生产'!$H$46:$H$201,'04_BOM生产'!$A$46:$A$201,A39,'04_BOM生产'!$D$46:$D$201,B39)</f>
        <v>9016.2733367770197</v>
      </c>
      <c r="F39" s="45">
        <v>0.03</v>
      </c>
      <c r="G39" s="44">
        <f t="shared" si="0"/>
        <v>9286.7615368803308</v>
      </c>
      <c r="H39" s="41">
        <f>G39*SUMIFS('01_主数据假设'!$J$26:$J$33,'01_主数据假设'!$H$26:$H$33,B39)/10000</f>
        <v>81.723501524546904</v>
      </c>
    </row>
    <row r="40" spans="1:8" ht="14.5">
      <c r="A40" s="12" t="s">
        <v>134</v>
      </c>
      <c r="B40" s="12" t="s">
        <v>176</v>
      </c>
      <c r="C40" s="12" t="s">
        <v>177</v>
      </c>
      <c r="D40" s="12" t="s">
        <v>178</v>
      </c>
      <c r="E40" s="44">
        <f>SUMIFS('04_BOM生产'!$H$46:$H$201,'04_BOM生产'!$A$46:$A$201,A40,'04_BOM生产'!$D$46:$D$201,B40)</f>
        <v>4176.1254356930604</v>
      </c>
      <c r="F40" s="45">
        <v>0.02</v>
      </c>
      <c r="G40" s="44">
        <f t="shared" si="0"/>
        <v>4259.64794440692</v>
      </c>
      <c r="H40" s="41">
        <f>G40*SUMIFS('01_主数据假设'!$J$26:$J$33,'01_主数据假设'!$H$26:$H$33,B40)/10000</f>
        <v>30.6694651997298</v>
      </c>
    </row>
    <row r="41" spans="1:8" ht="14.5">
      <c r="A41" s="12" t="s">
        <v>134</v>
      </c>
      <c r="B41" s="12" t="s">
        <v>179</v>
      </c>
      <c r="C41" s="12" t="s">
        <v>180</v>
      </c>
      <c r="D41" s="12" t="s">
        <v>181</v>
      </c>
      <c r="E41" s="44">
        <f>SUMIFS('04_BOM生产'!$H$46:$H$201,'04_BOM生产'!$A$46:$A$201,A41,'04_BOM生产'!$D$46:$D$201,B41)</f>
        <v>4176.1254356930604</v>
      </c>
      <c r="F41" s="45">
        <v>0.02</v>
      </c>
      <c r="G41" s="44">
        <f t="shared" si="0"/>
        <v>4259.64794440692</v>
      </c>
      <c r="H41" s="41">
        <f>G41*SUMIFS('01_主数据假设'!$J$26:$J$33,'01_主数据假设'!$H$26:$H$33,B41)/10000</f>
        <v>27.687711638644998</v>
      </c>
    </row>
    <row r="42" spans="1:8" ht="14.5">
      <c r="A42" s="12" t="s">
        <v>134</v>
      </c>
      <c r="B42" s="12" t="s">
        <v>183</v>
      </c>
      <c r="C42" s="12" t="s">
        <v>184</v>
      </c>
      <c r="D42" s="12" t="s">
        <v>185</v>
      </c>
      <c r="E42" s="44">
        <f>SUMIFS('04_BOM生产'!$H$46:$H$201,'04_BOM生产'!$A$46:$A$201,A42,'04_BOM生产'!$D$46:$D$201,B42)</f>
        <v>1581.5063890183801</v>
      </c>
      <c r="F42" s="45">
        <v>0.03</v>
      </c>
      <c r="G42" s="44">
        <f t="shared" si="0"/>
        <v>1628.9515806889401</v>
      </c>
      <c r="H42" s="41">
        <f>G42*SUMIFS('01_主数据假设'!$J$26:$J$33,'01_主数据假设'!$H$26:$H$33,B42)/10000</f>
        <v>30.135604242745298</v>
      </c>
    </row>
    <row r="43" spans="1:8" ht="14.5">
      <c r="A43" s="12" t="s">
        <v>134</v>
      </c>
      <c r="B43" s="12" t="s">
        <v>186</v>
      </c>
      <c r="C43" s="12" t="s">
        <v>187</v>
      </c>
      <c r="D43" s="12" t="s">
        <v>185</v>
      </c>
      <c r="E43" s="44">
        <f>SUMIFS('04_BOM生产'!$H$46:$H$201,'04_BOM生产'!$A$46:$A$201,A43,'04_BOM生产'!$D$46:$D$201,B43)</f>
        <v>1581.5063890183801</v>
      </c>
      <c r="F43" s="45">
        <v>0.03</v>
      </c>
      <c r="G43" s="44">
        <f t="shared" si="0"/>
        <v>1628.9515806889401</v>
      </c>
      <c r="H43" s="41">
        <f>G43*SUMIFS('01_主数据假设'!$J$26:$J$33,'01_主数据假设'!$H$26:$H$33,B43)/10000</f>
        <v>20.850580232818398</v>
      </c>
    </row>
    <row r="44" spans="1:8" ht="14.5">
      <c r="A44" s="12" t="s">
        <v>134</v>
      </c>
      <c r="B44" s="12" t="s">
        <v>188</v>
      </c>
      <c r="C44" s="12" t="s">
        <v>189</v>
      </c>
      <c r="D44" s="12" t="s">
        <v>190</v>
      </c>
      <c r="E44" s="44">
        <f>SUMIFS('04_BOM生产'!$H$46:$H$201,'04_BOM生产'!$A$46:$A$201,A44,'04_BOM生产'!$D$46:$D$201,B44)</f>
        <v>8971.8581971869899</v>
      </c>
      <c r="F44" s="45">
        <v>0.01</v>
      </c>
      <c r="G44" s="44">
        <f t="shared" si="0"/>
        <v>9061.5767791588605</v>
      </c>
      <c r="H44" s="41">
        <f>G44*SUMIFS('01_主数据假设'!$J$26:$J$33,'01_主数据假设'!$H$26:$H$33,B44)/10000</f>
        <v>25.372414981644798</v>
      </c>
    </row>
    <row r="45" spans="1:8" ht="14.5">
      <c r="A45" s="12" t="s">
        <v>135</v>
      </c>
      <c r="B45" s="12" t="s">
        <v>159</v>
      </c>
      <c r="C45" s="12" t="s">
        <v>160</v>
      </c>
      <c r="D45" s="12" t="s">
        <v>161</v>
      </c>
      <c r="E45" s="44">
        <f>SUMIFS('04_BOM生产'!$H$46:$H$201,'04_BOM生产'!$A$46:$A$201,A45,'04_BOM生产'!$D$46:$D$201,B45)</f>
        <v>7821.3668887306403</v>
      </c>
      <c r="F45" s="45">
        <v>0.02</v>
      </c>
      <c r="G45" s="44">
        <f t="shared" si="0"/>
        <v>7977.7942265052498</v>
      </c>
      <c r="H45" s="41">
        <f>G45*SUMIFS('01_主数据假设'!$J$26:$J$33,'01_主数据假设'!$H$26:$H$33,B45)/10000</f>
        <v>167.53367875660999</v>
      </c>
    </row>
    <row r="46" spans="1:8" ht="14.5">
      <c r="A46" s="12" t="s">
        <v>135</v>
      </c>
      <c r="B46" s="12" t="s">
        <v>165</v>
      </c>
      <c r="C46" s="12" t="s">
        <v>166</v>
      </c>
      <c r="D46" s="12" t="s">
        <v>167</v>
      </c>
      <c r="E46" s="44">
        <f>SUMIFS('04_BOM生产'!$H$46:$H$201,'04_BOM生产'!$A$46:$A$201,A46,'04_BOM生产'!$D$46:$D$201,B46)</f>
        <v>3488.37666181451</v>
      </c>
      <c r="F46" s="45">
        <v>0.02</v>
      </c>
      <c r="G46" s="44">
        <f t="shared" si="0"/>
        <v>3558.1441950508001</v>
      </c>
      <c r="H46" s="41">
        <f>G46*SUMIFS('01_主数据假设'!$J$26:$J$33,'01_主数据假设'!$H$26:$H$33,B46)/10000</f>
        <v>33.802369852982601</v>
      </c>
    </row>
    <row r="47" spans="1:8" ht="14.5">
      <c r="A47" s="12" t="s">
        <v>135</v>
      </c>
      <c r="B47" s="12" t="s">
        <v>171</v>
      </c>
      <c r="C47" s="12" t="s">
        <v>172</v>
      </c>
      <c r="D47" s="12" t="s">
        <v>173</v>
      </c>
      <c r="E47" s="44">
        <f>SUMIFS('04_BOM生产'!$H$46:$H$201,'04_BOM生产'!$A$46:$A$201,A47,'04_BOM生产'!$D$46:$D$201,B47)</f>
        <v>9518.85217287458</v>
      </c>
      <c r="F47" s="45">
        <v>0.03</v>
      </c>
      <c r="G47" s="44">
        <f t="shared" si="0"/>
        <v>9804.4177380608198</v>
      </c>
      <c r="H47" s="41">
        <f>G47*SUMIFS('01_主数据假设'!$J$26:$J$33,'01_主数据假设'!$H$26:$H$33,B47)/10000</f>
        <v>86.2788760949352</v>
      </c>
    </row>
    <row r="48" spans="1:8" ht="14.5">
      <c r="A48" s="12" t="s">
        <v>135</v>
      </c>
      <c r="B48" s="12" t="s">
        <v>176</v>
      </c>
      <c r="C48" s="12" t="s">
        <v>177</v>
      </c>
      <c r="D48" s="12" t="s">
        <v>178</v>
      </c>
      <c r="E48" s="44">
        <f>SUMIFS('04_BOM生产'!$H$46:$H$201,'04_BOM生产'!$A$46:$A$201,A48,'04_BOM生产'!$D$46:$D$201,B48)</f>
        <v>4410.4295030421799</v>
      </c>
      <c r="F48" s="45">
        <v>0.02</v>
      </c>
      <c r="G48" s="44">
        <f t="shared" si="0"/>
        <v>4498.6380931030199</v>
      </c>
      <c r="H48" s="41">
        <f>G48*SUMIFS('01_主数据假设'!$J$26:$J$33,'01_主数据假设'!$H$26:$H$33,B48)/10000</f>
        <v>32.390194270341702</v>
      </c>
    </row>
    <row r="49" spans="1:8" ht="14.5">
      <c r="A49" s="12" t="s">
        <v>135</v>
      </c>
      <c r="B49" s="12" t="s">
        <v>179</v>
      </c>
      <c r="C49" s="12" t="s">
        <v>180</v>
      </c>
      <c r="D49" s="12" t="s">
        <v>181</v>
      </c>
      <c r="E49" s="44">
        <f>SUMIFS('04_BOM生产'!$H$46:$H$201,'04_BOM生产'!$A$46:$A$201,A49,'04_BOM生产'!$D$46:$D$201,B49)</f>
        <v>4410.4295030421799</v>
      </c>
      <c r="F49" s="45">
        <v>0.02</v>
      </c>
      <c r="G49" s="44">
        <f t="shared" si="0"/>
        <v>4498.6380931030199</v>
      </c>
      <c r="H49" s="41">
        <f>G49*SUMIFS('01_主数据假设'!$J$26:$J$33,'01_主数据假设'!$H$26:$H$33,B49)/10000</f>
        <v>29.241147605169601</v>
      </c>
    </row>
    <row r="50" spans="1:8" ht="14.5">
      <c r="A50" s="12" t="s">
        <v>135</v>
      </c>
      <c r="B50" s="12" t="s">
        <v>183</v>
      </c>
      <c r="C50" s="12" t="s">
        <v>184</v>
      </c>
      <c r="D50" s="12" t="s">
        <v>185</v>
      </c>
      <c r="E50" s="44">
        <f>SUMIFS('04_BOM生产'!$H$46:$H$201,'04_BOM生产'!$A$46:$A$201,A50,'04_BOM生产'!$D$46:$D$201,B50)</f>
        <v>1666.93690542122</v>
      </c>
      <c r="F50" s="45">
        <v>0.03</v>
      </c>
      <c r="G50" s="44">
        <f t="shared" si="0"/>
        <v>1716.94501258386</v>
      </c>
      <c r="H50" s="41">
        <f>G50*SUMIFS('01_主数据假设'!$J$26:$J$33,'01_主数据假设'!$H$26:$H$33,B50)/10000</f>
        <v>31.7634827328014</v>
      </c>
    </row>
    <row r="51" spans="1:8" ht="14.5">
      <c r="A51" s="12" t="s">
        <v>135</v>
      </c>
      <c r="B51" s="12" t="s">
        <v>186</v>
      </c>
      <c r="C51" s="12" t="s">
        <v>187</v>
      </c>
      <c r="D51" s="12" t="s">
        <v>185</v>
      </c>
      <c r="E51" s="44">
        <f>SUMIFS('04_BOM生产'!$H$46:$H$201,'04_BOM生产'!$A$46:$A$201,A51,'04_BOM生产'!$D$46:$D$201,B51)</f>
        <v>1666.93690542122</v>
      </c>
      <c r="F51" s="45">
        <v>0.03</v>
      </c>
      <c r="G51" s="44">
        <f t="shared" si="0"/>
        <v>1716.94501258386</v>
      </c>
      <c r="H51" s="41">
        <f>G51*SUMIFS('01_主数据假设'!$J$26:$J$33,'01_主数据假设'!$H$26:$H$33,B51)/10000</f>
        <v>21.976896161073402</v>
      </c>
    </row>
    <row r="52" spans="1:8" ht="14.5">
      <c r="A52" s="12" t="s">
        <v>135</v>
      </c>
      <c r="B52" s="12" t="s">
        <v>188</v>
      </c>
      <c r="C52" s="12" t="s">
        <v>189</v>
      </c>
      <c r="D52" s="12" t="s">
        <v>190</v>
      </c>
      <c r="E52" s="44">
        <f>SUMIFS('04_BOM生产'!$H$46:$H$201,'04_BOM生产'!$A$46:$A$201,A52,'04_BOM生产'!$D$46:$D$201,B52)</f>
        <v>9471.9612754712598</v>
      </c>
      <c r="F52" s="45">
        <v>0.01</v>
      </c>
      <c r="G52" s="44">
        <f t="shared" si="0"/>
        <v>9566.6808882259702</v>
      </c>
      <c r="H52" s="41">
        <f>G52*SUMIFS('01_主数据假设'!$J$26:$J$33,'01_主数据假设'!$H$26:$H$33,B52)/10000</f>
        <v>26.786706487032699</v>
      </c>
    </row>
    <row r="53" spans="1:8" ht="14.5">
      <c r="A53" s="12" t="s">
        <v>136</v>
      </c>
      <c r="B53" s="12" t="s">
        <v>159</v>
      </c>
      <c r="C53" s="12" t="s">
        <v>160</v>
      </c>
      <c r="D53" s="12" t="s">
        <v>161</v>
      </c>
      <c r="E53" s="44">
        <f>SUMIFS('04_BOM生产'!$H$46:$H$201,'04_BOM生产'!$A$46:$A$201,A53,'04_BOM生产'!$D$46:$D$201,B53)</f>
        <v>7821.3668887306403</v>
      </c>
      <c r="F53" s="45">
        <v>0.02</v>
      </c>
      <c r="G53" s="44">
        <f t="shared" si="0"/>
        <v>7977.7942265052498</v>
      </c>
      <c r="H53" s="41">
        <f>G53*SUMIFS('01_主数据假设'!$J$26:$J$33,'01_主数据假设'!$H$26:$H$33,B53)/10000</f>
        <v>167.53367875660999</v>
      </c>
    </row>
    <row r="54" spans="1:8" ht="14.5">
      <c r="A54" s="12" t="s">
        <v>136</v>
      </c>
      <c r="B54" s="12" t="s">
        <v>165</v>
      </c>
      <c r="C54" s="12" t="s">
        <v>166</v>
      </c>
      <c r="D54" s="12" t="s">
        <v>167</v>
      </c>
      <c r="E54" s="44">
        <f>SUMIFS('04_BOM生产'!$H$46:$H$201,'04_BOM生产'!$A$46:$A$201,A54,'04_BOM生产'!$D$46:$D$201,B54)</f>
        <v>3488.37666181451</v>
      </c>
      <c r="F54" s="45">
        <v>0.02</v>
      </c>
      <c r="G54" s="44">
        <f t="shared" si="0"/>
        <v>3558.1441950508001</v>
      </c>
      <c r="H54" s="41">
        <f>G54*SUMIFS('01_主数据假设'!$J$26:$J$33,'01_主数据假设'!$H$26:$H$33,B54)/10000</f>
        <v>33.802369852982601</v>
      </c>
    </row>
    <row r="55" spans="1:8" ht="14.5">
      <c r="A55" s="12" t="s">
        <v>136</v>
      </c>
      <c r="B55" s="12" t="s">
        <v>171</v>
      </c>
      <c r="C55" s="12" t="s">
        <v>172</v>
      </c>
      <c r="D55" s="12" t="s">
        <v>173</v>
      </c>
      <c r="E55" s="44">
        <f>SUMIFS('04_BOM生产'!$H$46:$H$201,'04_BOM生产'!$A$46:$A$201,A55,'04_BOM生产'!$D$46:$D$201,B55)</f>
        <v>9518.85217287458</v>
      </c>
      <c r="F55" s="45">
        <v>0.03</v>
      </c>
      <c r="G55" s="44">
        <f t="shared" si="0"/>
        <v>9804.4177380608198</v>
      </c>
      <c r="H55" s="41">
        <f>G55*SUMIFS('01_主数据假设'!$J$26:$J$33,'01_主数据假设'!$H$26:$H$33,B55)/10000</f>
        <v>86.2788760949352</v>
      </c>
    </row>
    <row r="56" spans="1:8" ht="14.5">
      <c r="A56" s="12" t="s">
        <v>136</v>
      </c>
      <c r="B56" s="12" t="s">
        <v>176</v>
      </c>
      <c r="C56" s="12" t="s">
        <v>177</v>
      </c>
      <c r="D56" s="12" t="s">
        <v>178</v>
      </c>
      <c r="E56" s="44">
        <f>SUMIFS('04_BOM生产'!$H$46:$H$201,'04_BOM生产'!$A$46:$A$201,A56,'04_BOM生产'!$D$46:$D$201,B56)</f>
        <v>4410.4295030421799</v>
      </c>
      <c r="F56" s="45">
        <v>0.02</v>
      </c>
      <c r="G56" s="44">
        <f t="shared" si="0"/>
        <v>4498.6380931030199</v>
      </c>
      <c r="H56" s="41">
        <f>G56*SUMIFS('01_主数据假设'!$J$26:$J$33,'01_主数据假设'!$H$26:$H$33,B56)/10000</f>
        <v>32.390194270341702</v>
      </c>
    </row>
    <row r="57" spans="1:8" ht="14.5">
      <c r="A57" s="12" t="s">
        <v>136</v>
      </c>
      <c r="B57" s="12" t="s">
        <v>179</v>
      </c>
      <c r="C57" s="12" t="s">
        <v>180</v>
      </c>
      <c r="D57" s="12" t="s">
        <v>181</v>
      </c>
      <c r="E57" s="44">
        <f>SUMIFS('04_BOM生产'!$H$46:$H$201,'04_BOM生产'!$A$46:$A$201,A57,'04_BOM生产'!$D$46:$D$201,B57)</f>
        <v>4410.4295030421799</v>
      </c>
      <c r="F57" s="45">
        <v>0.02</v>
      </c>
      <c r="G57" s="44">
        <f t="shared" si="0"/>
        <v>4498.6380931030199</v>
      </c>
      <c r="H57" s="41">
        <f>G57*SUMIFS('01_主数据假设'!$J$26:$J$33,'01_主数据假设'!$H$26:$H$33,B57)/10000</f>
        <v>29.241147605169601</v>
      </c>
    </row>
    <row r="58" spans="1:8" ht="14.5">
      <c r="A58" s="12" t="s">
        <v>136</v>
      </c>
      <c r="B58" s="12" t="s">
        <v>183</v>
      </c>
      <c r="C58" s="12" t="s">
        <v>184</v>
      </c>
      <c r="D58" s="12" t="s">
        <v>185</v>
      </c>
      <c r="E58" s="44">
        <f>SUMIFS('04_BOM生产'!$H$46:$H$201,'04_BOM生产'!$A$46:$A$201,A58,'04_BOM生产'!$D$46:$D$201,B58)</f>
        <v>1666.93690542122</v>
      </c>
      <c r="F58" s="45">
        <v>0.03</v>
      </c>
      <c r="G58" s="44">
        <f t="shared" si="0"/>
        <v>1716.94501258386</v>
      </c>
      <c r="H58" s="41">
        <f>G58*SUMIFS('01_主数据假设'!$J$26:$J$33,'01_主数据假设'!$H$26:$H$33,B58)/10000</f>
        <v>31.7634827328014</v>
      </c>
    </row>
    <row r="59" spans="1:8" ht="14.5">
      <c r="A59" s="12" t="s">
        <v>136</v>
      </c>
      <c r="B59" s="12" t="s">
        <v>186</v>
      </c>
      <c r="C59" s="12" t="s">
        <v>187</v>
      </c>
      <c r="D59" s="12" t="s">
        <v>185</v>
      </c>
      <c r="E59" s="44">
        <f>SUMIFS('04_BOM生产'!$H$46:$H$201,'04_BOM生产'!$A$46:$A$201,A59,'04_BOM生产'!$D$46:$D$201,B59)</f>
        <v>1666.93690542122</v>
      </c>
      <c r="F59" s="45">
        <v>0.03</v>
      </c>
      <c r="G59" s="44">
        <f t="shared" si="0"/>
        <v>1716.94501258386</v>
      </c>
      <c r="H59" s="41">
        <f>G59*SUMIFS('01_主数据假设'!$J$26:$J$33,'01_主数据假设'!$H$26:$H$33,B59)/10000</f>
        <v>21.976896161073402</v>
      </c>
    </row>
    <row r="60" spans="1:8" ht="14.5">
      <c r="A60" s="12" t="s">
        <v>136</v>
      </c>
      <c r="B60" s="12" t="s">
        <v>188</v>
      </c>
      <c r="C60" s="12" t="s">
        <v>189</v>
      </c>
      <c r="D60" s="12" t="s">
        <v>190</v>
      </c>
      <c r="E60" s="44">
        <f>SUMIFS('04_BOM生产'!$H$46:$H$201,'04_BOM生产'!$A$46:$A$201,A60,'04_BOM生产'!$D$46:$D$201,B60)</f>
        <v>9471.9612754712598</v>
      </c>
      <c r="F60" s="45">
        <v>0.01</v>
      </c>
      <c r="G60" s="44">
        <f t="shared" si="0"/>
        <v>9566.6808882259702</v>
      </c>
      <c r="H60" s="41">
        <f>G60*SUMIFS('01_主数据假设'!$J$26:$J$33,'01_主数据假设'!$H$26:$H$33,B60)/10000</f>
        <v>26.786706487032699</v>
      </c>
    </row>
    <row r="61" spans="1:8" ht="14.5">
      <c r="A61" s="12" t="s">
        <v>137</v>
      </c>
      <c r="B61" s="12" t="s">
        <v>159</v>
      </c>
      <c r="C61" s="12" t="s">
        <v>160</v>
      </c>
      <c r="D61" s="12" t="s">
        <v>161</v>
      </c>
      <c r="E61" s="44">
        <f>SUMIFS('04_BOM生产'!$H$46:$H$201,'04_BOM生产'!$A$46:$A$201,A61,'04_BOM生产'!$D$46:$D$201,B61)</f>
        <v>7894.6922033124902</v>
      </c>
      <c r="F61" s="45">
        <v>0.02</v>
      </c>
      <c r="G61" s="44">
        <f t="shared" si="0"/>
        <v>8052.5860473787397</v>
      </c>
      <c r="H61" s="41">
        <f>G61*SUMIFS('01_主数据假设'!$J$26:$J$33,'01_主数据假设'!$H$26:$H$33,B61)/10000</f>
        <v>169.10430699495399</v>
      </c>
    </row>
    <row r="62" spans="1:8" ht="14.5">
      <c r="A62" s="12" t="s">
        <v>137</v>
      </c>
      <c r="B62" s="12" t="s">
        <v>165</v>
      </c>
      <c r="C62" s="12" t="s">
        <v>166</v>
      </c>
      <c r="D62" s="12" t="s">
        <v>167</v>
      </c>
      <c r="E62" s="44">
        <f>SUMIFS('04_BOM生产'!$H$46:$H$201,'04_BOM生产'!$A$46:$A$201,A62,'04_BOM生产'!$D$46:$D$201,B62)</f>
        <v>3521.08019301902</v>
      </c>
      <c r="F62" s="45">
        <v>0.02</v>
      </c>
      <c r="G62" s="44">
        <f t="shared" si="0"/>
        <v>3591.5017968794</v>
      </c>
      <c r="H62" s="41">
        <f>G62*SUMIFS('01_主数据假设'!$J$26:$J$33,'01_主数据假设'!$H$26:$H$33,B62)/10000</f>
        <v>34.119267070354297</v>
      </c>
    </row>
    <row r="63" spans="1:8" ht="14.5">
      <c r="A63" s="12" t="s">
        <v>137</v>
      </c>
      <c r="B63" s="12" t="s">
        <v>171</v>
      </c>
      <c r="C63" s="12" t="s">
        <v>172</v>
      </c>
      <c r="D63" s="12" t="s">
        <v>173</v>
      </c>
      <c r="E63" s="44">
        <f>SUMIFS('04_BOM生产'!$H$46:$H$201,'04_BOM生产'!$A$46:$A$201,A63,'04_BOM生产'!$D$46:$D$201,B63)</f>
        <v>9611.2015975816794</v>
      </c>
      <c r="F63" s="45">
        <v>0.03</v>
      </c>
      <c r="G63" s="44">
        <f t="shared" si="0"/>
        <v>9899.53764550913</v>
      </c>
      <c r="H63" s="41">
        <f>G63*SUMIFS('01_主数据假设'!$J$26:$J$33,'01_主数据假设'!$H$26:$H$33,B63)/10000</f>
        <v>87.115931280480396</v>
      </c>
    </row>
    <row r="64" spans="1:8" ht="14.5">
      <c r="A64" s="12" t="s">
        <v>137</v>
      </c>
      <c r="B64" s="12" t="s">
        <v>176</v>
      </c>
      <c r="C64" s="12" t="s">
        <v>177</v>
      </c>
      <c r="D64" s="12" t="s">
        <v>178</v>
      </c>
      <c r="E64" s="44">
        <f>SUMIFS('04_BOM生产'!$H$46:$H$201,'04_BOM生产'!$A$46:$A$201,A64,'04_BOM生产'!$D$46:$D$201,B64)</f>
        <v>4451.7772796332001</v>
      </c>
      <c r="F64" s="45">
        <v>0.02</v>
      </c>
      <c r="G64" s="44">
        <f t="shared" si="0"/>
        <v>4540.8128252258603</v>
      </c>
      <c r="H64" s="41">
        <f>G64*SUMIFS('01_主数据假设'!$J$26:$J$33,'01_主数据假设'!$H$26:$H$33,B64)/10000</f>
        <v>32.693852341626197</v>
      </c>
    </row>
    <row r="65" spans="1:8" ht="14.5">
      <c r="A65" s="12" t="s">
        <v>137</v>
      </c>
      <c r="B65" s="12" t="s">
        <v>179</v>
      </c>
      <c r="C65" s="12" t="s">
        <v>180</v>
      </c>
      <c r="D65" s="12" t="s">
        <v>181</v>
      </c>
      <c r="E65" s="44">
        <f>SUMIFS('04_BOM生产'!$H$46:$H$201,'04_BOM生产'!$A$46:$A$201,A65,'04_BOM生产'!$D$46:$D$201,B65)</f>
        <v>4451.7772796332001</v>
      </c>
      <c r="F65" s="45">
        <v>0.02</v>
      </c>
      <c r="G65" s="44">
        <f t="shared" si="0"/>
        <v>4540.8128252258603</v>
      </c>
      <c r="H65" s="41">
        <f>G65*SUMIFS('01_主数据假设'!$J$26:$J$33,'01_主数据假设'!$H$26:$H$33,B65)/10000</f>
        <v>29.515283363968098</v>
      </c>
    </row>
    <row r="66" spans="1:8" ht="14.5">
      <c r="A66" s="12" t="s">
        <v>137</v>
      </c>
      <c r="B66" s="12" t="s">
        <v>183</v>
      </c>
      <c r="C66" s="12" t="s">
        <v>184</v>
      </c>
      <c r="D66" s="12" t="s">
        <v>185</v>
      </c>
      <c r="E66" s="44">
        <f>SUMIFS('04_BOM生产'!$H$46:$H$201,'04_BOM生产'!$A$46:$A$201,A66,'04_BOM生产'!$D$46:$D$201,B66)</f>
        <v>1685.6899456072099</v>
      </c>
      <c r="F66" s="45">
        <v>0.03</v>
      </c>
      <c r="G66" s="44">
        <f t="shared" si="0"/>
        <v>1736.26064397543</v>
      </c>
      <c r="H66" s="41">
        <f>G66*SUMIFS('01_主数据假设'!$J$26:$J$33,'01_主数据假设'!$H$26:$H$33,B66)/10000</f>
        <v>32.120821913545399</v>
      </c>
    </row>
    <row r="67" spans="1:8" ht="14.5">
      <c r="A67" s="12" t="s">
        <v>137</v>
      </c>
      <c r="B67" s="12" t="s">
        <v>186</v>
      </c>
      <c r="C67" s="12" t="s">
        <v>187</v>
      </c>
      <c r="D67" s="12" t="s">
        <v>185</v>
      </c>
      <c r="E67" s="44">
        <f>SUMIFS('04_BOM生产'!$H$46:$H$201,'04_BOM生产'!$A$46:$A$201,A67,'04_BOM生产'!$D$46:$D$201,B67)</f>
        <v>1685.6899456072099</v>
      </c>
      <c r="F67" s="45">
        <v>0.03</v>
      </c>
      <c r="G67" s="44">
        <f t="shared" si="0"/>
        <v>1736.26064397543</v>
      </c>
      <c r="H67" s="41">
        <f>G67*SUMIFS('01_主数据假设'!$J$26:$J$33,'01_主数据假设'!$H$26:$H$33,B67)/10000</f>
        <v>22.2241362428855</v>
      </c>
    </row>
    <row r="68" spans="1:8" ht="14.5">
      <c r="A68" s="12" t="s">
        <v>137</v>
      </c>
      <c r="B68" s="12" t="s">
        <v>188</v>
      </c>
      <c r="C68" s="12" t="s">
        <v>189</v>
      </c>
      <c r="D68" s="12" t="s">
        <v>190</v>
      </c>
      <c r="E68" s="44">
        <f>SUMIFS('04_BOM生产'!$H$46:$H$201,'04_BOM生产'!$A$46:$A$201,A68,'04_BOM生产'!$D$46:$D$201,B68)</f>
        <v>9563.8557769039398</v>
      </c>
      <c r="F68" s="45">
        <v>0.01</v>
      </c>
      <c r="G68" s="44">
        <f t="shared" si="0"/>
        <v>9659.4943346729797</v>
      </c>
      <c r="H68" s="41">
        <f>G68*SUMIFS('01_主数据假设'!$J$26:$J$33,'01_主数据假设'!$H$26:$H$33,B68)/10000</f>
        <v>27.046584137084299</v>
      </c>
    </row>
    <row r="69" spans="1:8" ht="14.5">
      <c r="A69" s="12" t="s">
        <v>138</v>
      </c>
      <c r="B69" s="12" t="s">
        <v>159</v>
      </c>
      <c r="C69" s="12" t="s">
        <v>160</v>
      </c>
      <c r="D69" s="12" t="s">
        <v>161</v>
      </c>
      <c r="E69" s="44">
        <f>SUMIFS('04_BOM生产'!$H$46:$H$201,'04_BOM生产'!$A$46:$A$201,A69,'04_BOM生产'!$D$46:$D$201,B69)</f>
        <v>8383.5276338581607</v>
      </c>
      <c r="F69" s="45">
        <v>0.02</v>
      </c>
      <c r="G69" s="44">
        <f t="shared" ref="G69:G100" si="1">E69*(1+F69)</f>
        <v>8551.1981865353191</v>
      </c>
      <c r="H69" s="41">
        <f>G69*SUMIFS('01_主数据假设'!$J$26:$J$33,'01_主数据假设'!$H$26:$H$33,B69)/10000</f>
        <v>179.57516191724201</v>
      </c>
    </row>
    <row r="70" spans="1:8" ht="14.5">
      <c r="A70" s="12" t="s">
        <v>138</v>
      </c>
      <c r="B70" s="12" t="s">
        <v>165</v>
      </c>
      <c r="C70" s="12" t="s">
        <v>166</v>
      </c>
      <c r="D70" s="12" t="s">
        <v>167</v>
      </c>
      <c r="E70" s="44">
        <f>SUMIFS('04_BOM生产'!$H$46:$H$201,'04_BOM生产'!$A$46:$A$201,A70,'04_BOM生产'!$D$46:$D$201,B70)</f>
        <v>3739.10373438243</v>
      </c>
      <c r="F70" s="45">
        <v>0.02</v>
      </c>
      <c r="G70" s="44">
        <f t="shared" si="1"/>
        <v>3813.8858090700801</v>
      </c>
      <c r="H70" s="41">
        <f>G70*SUMIFS('01_主数据假设'!$J$26:$J$33,'01_主数据假设'!$H$26:$H$33,B70)/10000</f>
        <v>36.231915186165701</v>
      </c>
    </row>
    <row r="71" spans="1:8" ht="14.5">
      <c r="A71" s="12" t="s">
        <v>138</v>
      </c>
      <c r="B71" s="12" t="s">
        <v>171</v>
      </c>
      <c r="C71" s="12" t="s">
        <v>172</v>
      </c>
      <c r="D71" s="12" t="s">
        <v>173</v>
      </c>
      <c r="E71" s="44">
        <f>SUMIFS('04_BOM生产'!$H$46:$H$201,'04_BOM生产'!$A$46:$A$201,A71,'04_BOM生产'!$D$46:$D$201,B71)</f>
        <v>10206.129858386301</v>
      </c>
      <c r="F71" s="45">
        <v>0.03</v>
      </c>
      <c r="G71" s="44">
        <f t="shared" si="1"/>
        <v>10512.3137541379</v>
      </c>
      <c r="H71" s="41">
        <f>G71*SUMIFS('01_主数据假设'!$J$26:$J$33,'01_主数据假设'!$H$26:$H$33,B71)/10000</f>
        <v>92.508361036413802</v>
      </c>
    </row>
    <row r="72" spans="1:8" ht="14.5">
      <c r="A72" s="12" t="s">
        <v>138</v>
      </c>
      <c r="B72" s="12" t="s">
        <v>176</v>
      </c>
      <c r="C72" s="12" t="s">
        <v>177</v>
      </c>
      <c r="D72" s="12" t="s">
        <v>178</v>
      </c>
      <c r="E72" s="44">
        <f>SUMIFS('04_BOM生产'!$H$46:$H$201,'04_BOM生产'!$A$46:$A$201,A72,'04_BOM生产'!$D$46:$D$201,B72)</f>
        <v>4727.4291235733299</v>
      </c>
      <c r="F72" s="45">
        <v>0.02</v>
      </c>
      <c r="G72" s="44">
        <f t="shared" si="1"/>
        <v>4821.9777060447996</v>
      </c>
      <c r="H72" s="41">
        <f>G72*SUMIFS('01_主数据假设'!$J$26:$J$33,'01_主数据假设'!$H$26:$H$33,B72)/10000</f>
        <v>34.718239483522602</v>
      </c>
    </row>
    <row r="73" spans="1:8" ht="14.5">
      <c r="A73" s="12" t="s">
        <v>138</v>
      </c>
      <c r="B73" s="12" t="s">
        <v>179</v>
      </c>
      <c r="C73" s="12" t="s">
        <v>180</v>
      </c>
      <c r="D73" s="12" t="s">
        <v>181</v>
      </c>
      <c r="E73" s="44">
        <f>SUMIFS('04_BOM生产'!$H$46:$H$201,'04_BOM生产'!$A$46:$A$201,A73,'04_BOM生产'!$D$46:$D$201,B73)</f>
        <v>4727.4291235733299</v>
      </c>
      <c r="F73" s="45">
        <v>0.02</v>
      </c>
      <c r="G73" s="44">
        <f t="shared" si="1"/>
        <v>4821.9777060447996</v>
      </c>
      <c r="H73" s="41">
        <f>G73*SUMIFS('01_主数据假设'!$J$26:$J$33,'01_主数据假设'!$H$26:$H$33,B73)/10000</f>
        <v>31.342855089291199</v>
      </c>
    </row>
    <row r="74" spans="1:8" ht="14.5">
      <c r="A74" s="12" t="s">
        <v>138</v>
      </c>
      <c r="B74" s="12" t="s">
        <v>183</v>
      </c>
      <c r="C74" s="12" t="s">
        <v>184</v>
      </c>
      <c r="D74" s="12" t="s">
        <v>185</v>
      </c>
      <c r="E74" s="44">
        <f>SUMIFS('04_BOM生产'!$H$46:$H$201,'04_BOM生产'!$A$46:$A$201,A74,'04_BOM生产'!$D$46:$D$201,B74)</f>
        <v>1789.8735021960399</v>
      </c>
      <c r="F74" s="45">
        <v>0.03</v>
      </c>
      <c r="G74" s="44">
        <f t="shared" si="1"/>
        <v>1843.56970726192</v>
      </c>
      <c r="H74" s="41">
        <f>G74*SUMIFS('01_主数据假设'!$J$26:$J$33,'01_主数据假设'!$H$26:$H$33,B74)/10000</f>
        <v>34.106039584345503</v>
      </c>
    </row>
    <row r="75" spans="1:8" ht="14.5">
      <c r="A75" s="12" t="s">
        <v>138</v>
      </c>
      <c r="B75" s="12" t="s">
        <v>186</v>
      </c>
      <c r="C75" s="12" t="s">
        <v>187</v>
      </c>
      <c r="D75" s="12" t="s">
        <v>185</v>
      </c>
      <c r="E75" s="44">
        <f>SUMIFS('04_BOM生产'!$H$46:$H$201,'04_BOM生产'!$A$46:$A$201,A75,'04_BOM生产'!$D$46:$D$201,B75)</f>
        <v>1789.8735021960399</v>
      </c>
      <c r="F75" s="45">
        <v>0.03</v>
      </c>
      <c r="G75" s="44">
        <f t="shared" si="1"/>
        <v>1843.56970726192</v>
      </c>
      <c r="H75" s="41">
        <f>G75*SUMIFS('01_主数据假设'!$J$26:$J$33,'01_主数据假设'!$H$26:$H$33,B75)/10000</f>
        <v>23.597692252952601</v>
      </c>
    </row>
    <row r="76" spans="1:8" ht="14.5">
      <c r="A76" s="12" t="s">
        <v>138</v>
      </c>
      <c r="B76" s="12" t="s">
        <v>188</v>
      </c>
      <c r="C76" s="12" t="s">
        <v>189</v>
      </c>
      <c r="D76" s="12" t="s">
        <v>190</v>
      </c>
      <c r="E76" s="44">
        <f>SUMIFS('04_BOM生产'!$H$46:$H$201,'04_BOM生产'!$A$46:$A$201,A76,'04_BOM生产'!$D$46:$D$201,B76)</f>
        <v>10155.853356620901</v>
      </c>
      <c r="F76" s="45">
        <v>0.01</v>
      </c>
      <c r="G76" s="44">
        <f t="shared" si="1"/>
        <v>10257.411890187101</v>
      </c>
      <c r="H76" s="41">
        <f>G76*SUMIFS('01_主数据假设'!$J$26:$J$33,'01_主数据假设'!$H$26:$H$33,B76)/10000</f>
        <v>28.720753292523899</v>
      </c>
    </row>
    <row r="77" spans="1:8" ht="14.5">
      <c r="A77" s="12" t="s">
        <v>139</v>
      </c>
      <c r="B77" s="12" t="s">
        <v>159</v>
      </c>
      <c r="C77" s="12" t="s">
        <v>160</v>
      </c>
      <c r="D77" s="12" t="s">
        <v>161</v>
      </c>
      <c r="E77" s="44">
        <f>SUMIFS('04_BOM生产'!$H$46:$H$201,'04_BOM生产'!$A$46:$A$201,A77,'04_BOM生产'!$D$46:$D$201,B77)</f>
        <v>9092.3390081493708</v>
      </c>
      <c r="F77" s="45">
        <v>0.02</v>
      </c>
      <c r="G77" s="44">
        <f t="shared" si="1"/>
        <v>9274.1857883123594</v>
      </c>
      <c r="H77" s="41">
        <f>G77*SUMIFS('01_主数据假设'!$J$26:$J$33,'01_主数据假设'!$H$26:$H$33,B77)/10000</f>
        <v>194.757901554559</v>
      </c>
    </row>
    <row r="78" spans="1:8" ht="14.5">
      <c r="A78" s="12" t="s">
        <v>139</v>
      </c>
      <c r="B78" s="12" t="s">
        <v>165</v>
      </c>
      <c r="C78" s="12" t="s">
        <v>166</v>
      </c>
      <c r="D78" s="12" t="s">
        <v>167</v>
      </c>
      <c r="E78" s="44">
        <f>SUMIFS('04_BOM生产'!$H$46:$H$201,'04_BOM生产'!$A$46:$A$201,A78,'04_BOM生产'!$D$46:$D$201,B78)</f>
        <v>4055.2378693593701</v>
      </c>
      <c r="F78" s="45">
        <v>0.02</v>
      </c>
      <c r="G78" s="44">
        <f t="shared" si="1"/>
        <v>4136.3426267465602</v>
      </c>
      <c r="H78" s="41">
        <f>G78*SUMIFS('01_主数据假设'!$J$26:$J$33,'01_主数据假设'!$H$26:$H$33,B78)/10000</f>
        <v>39.2952549540923</v>
      </c>
    </row>
    <row r="79" spans="1:8" ht="14.5">
      <c r="A79" s="12" t="s">
        <v>139</v>
      </c>
      <c r="B79" s="12" t="s">
        <v>171</v>
      </c>
      <c r="C79" s="12" t="s">
        <v>172</v>
      </c>
      <c r="D79" s="12" t="s">
        <v>173</v>
      </c>
      <c r="E79" s="44">
        <f>SUMIFS('04_BOM生产'!$H$46:$H$201,'04_BOM生产'!$A$46:$A$201,A79,'04_BOM生产'!$D$46:$D$201,B79)</f>
        <v>11078.1063933123</v>
      </c>
      <c r="F79" s="45">
        <v>0.03</v>
      </c>
      <c r="G79" s="44">
        <f t="shared" si="1"/>
        <v>11410.449585111701</v>
      </c>
      <c r="H79" s="41">
        <f>G79*SUMIFS('01_主数据假设'!$J$26:$J$33,'01_主数据假设'!$H$26:$H$33,B79)/10000</f>
        <v>100.411956348983</v>
      </c>
    </row>
    <row r="80" spans="1:8" ht="14.5">
      <c r="A80" s="12" t="s">
        <v>139</v>
      </c>
      <c r="B80" s="12" t="s">
        <v>176</v>
      </c>
      <c r="C80" s="12" t="s">
        <v>177</v>
      </c>
      <c r="D80" s="12" t="s">
        <v>178</v>
      </c>
      <c r="E80" s="44">
        <f>SUMIFS('04_BOM生产'!$H$46:$H$201,'04_BOM生产'!$A$46:$A$201,A80,'04_BOM生产'!$D$46:$D$201,B80)</f>
        <v>5127.1242972865302</v>
      </c>
      <c r="F80" s="45">
        <v>0.02</v>
      </c>
      <c r="G80" s="44">
        <f t="shared" si="1"/>
        <v>5229.6667832322601</v>
      </c>
      <c r="H80" s="41">
        <f>G80*SUMIFS('01_主数据假设'!$J$26:$J$33,'01_主数据假设'!$H$26:$H$33,B80)/10000</f>
        <v>37.653600839272301</v>
      </c>
    </row>
    <row r="81" spans="1:8" ht="14.5">
      <c r="A81" s="12" t="s">
        <v>139</v>
      </c>
      <c r="B81" s="12" t="s">
        <v>179</v>
      </c>
      <c r="C81" s="12" t="s">
        <v>180</v>
      </c>
      <c r="D81" s="12" t="s">
        <v>181</v>
      </c>
      <c r="E81" s="44">
        <f>SUMIFS('04_BOM生产'!$H$46:$H$201,'04_BOM生产'!$A$46:$A$201,A81,'04_BOM生产'!$D$46:$D$201,B81)</f>
        <v>5127.1242972865302</v>
      </c>
      <c r="F81" s="45">
        <v>0.02</v>
      </c>
      <c r="G81" s="44">
        <f t="shared" si="1"/>
        <v>5229.6667832322601</v>
      </c>
      <c r="H81" s="41">
        <f>G81*SUMIFS('01_主数据假设'!$J$26:$J$33,'01_主数据假设'!$H$26:$H$33,B81)/10000</f>
        <v>33.992834091009698</v>
      </c>
    </row>
    <row r="82" spans="1:8" ht="14.5">
      <c r="A82" s="12" t="s">
        <v>139</v>
      </c>
      <c r="B82" s="12" t="s">
        <v>183</v>
      </c>
      <c r="C82" s="12" t="s">
        <v>184</v>
      </c>
      <c r="D82" s="12" t="s">
        <v>185</v>
      </c>
      <c r="E82" s="44">
        <f>SUMIFS('04_BOM生产'!$H$46:$H$201,'04_BOM生产'!$A$46:$A$201,A82,'04_BOM生产'!$D$46:$D$201,B82)</f>
        <v>1950.3161793428301</v>
      </c>
      <c r="F82" s="45">
        <v>0.03</v>
      </c>
      <c r="G82" s="44">
        <f t="shared" si="1"/>
        <v>2008.8256647231101</v>
      </c>
      <c r="H82" s="41">
        <f>G82*SUMIFS('01_主数据假设'!$J$26:$J$33,'01_主数据假设'!$H$26:$H$33,B82)/10000</f>
        <v>37.163274797377603</v>
      </c>
    </row>
    <row r="83" spans="1:8" ht="14.5">
      <c r="A83" s="12" t="s">
        <v>139</v>
      </c>
      <c r="B83" s="12" t="s">
        <v>186</v>
      </c>
      <c r="C83" s="12" t="s">
        <v>187</v>
      </c>
      <c r="D83" s="12" t="s">
        <v>185</v>
      </c>
      <c r="E83" s="44">
        <f>SUMIFS('04_BOM生产'!$H$46:$H$201,'04_BOM生产'!$A$46:$A$201,A83,'04_BOM生产'!$D$46:$D$201,B83)</f>
        <v>1950.3161793428301</v>
      </c>
      <c r="F83" s="45">
        <v>0.03</v>
      </c>
      <c r="G83" s="44">
        <f t="shared" si="1"/>
        <v>2008.8256647231101</v>
      </c>
      <c r="H83" s="41">
        <f>G83*SUMIFS('01_主数据假设'!$J$26:$J$33,'01_主数据假设'!$H$26:$H$33,B83)/10000</f>
        <v>25.712968508455901</v>
      </c>
    </row>
    <row r="84" spans="1:8" ht="14.5">
      <c r="A84" s="12" t="s">
        <v>139</v>
      </c>
      <c r="B84" s="12" t="s">
        <v>188</v>
      </c>
      <c r="C84" s="12" t="s">
        <v>189</v>
      </c>
      <c r="D84" s="12" t="s">
        <v>190</v>
      </c>
      <c r="E84" s="44">
        <f>SUMIFS('04_BOM生产'!$H$46:$H$201,'04_BOM生产'!$A$46:$A$201,A84,'04_BOM生产'!$D$46:$D$201,B84)</f>
        <v>11023.5344406359</v>
      </c>
      <c r="F84" s="45">
        <v>0.01</v>
      </c>
      <c r="G84" s="44">
        <f t="shared" si="1"/>
        <v>11133.769785042299</v>
      </c>
      <c r="H84" s="41">
        <f>G84*SUMIFS('01_主数据假设'!$J$26:$J$33,'01_主数据假设'!$H$26:$H$33,B84)/10000</f>
        <v>31.174555398118301</v>
      </c>
    </row>
    <row r="85" spans="1:8" ht="14.5">
      <c r="A85" s="12" t="s">
        <v>140</v>
      </c>
      <c r="B85" s="12" t="s">
        <v>159</v>
      </c>
      <c r="C85" s="12" t="s">
        <v>160</v>
      </c>
      <c r="D85" s="12" t="s">
        <v>161</v>
      </c>
      <c r="E85" s="44">
        <f>SUMIFS('04_BOM生产'!$H$46:$H$201,'04_BOM生产'!$A$46:$A$201,A85,'04_BOM生产'!$D$46:$D$201,B85)</f>
        <v>10974.3554157502</v>
      </c>
      <c r="F85" s="45">
        <v>0.02</v>
      </c>
      <c r="G85" s="44">
        <f t="shared" si="1"/>
        <v>11193.8425240652</v>
      </c>
      <c r="H85" s="41">
        <f>G85*SUMIFS('01_主数据假设'!$J$26:$J$33,'01_主数据假设'!$H$26:$H$33,B85)/10000</f>
        <v>235.07069300536901</v>
      </c>
    </row>
    <row r="86" spans="1:8" ht="14.5">
      <c r="A86" s="12" t="s">
        <v>140</v>
      </c>
      <c r="B86" s="12" t="s">
        <v>165</v>
      </c>
      <c r="C86" s="12" t="s">
        <v>166</v>
      </c>
      <c r="D86" s="12" t="s">
        <v>167</v>
      </c>
      <c r="E86" s="44">
        <f>SUMIFS('04_BOM生产'!$H$46:$H$201,'04_BOM生产'!$A$46:$A$201,A86,'04_BOM生产'!$D$46:$D$201,B86)</f>
        <v>4894.6285036084801</v>
      </c>
      <c r="F86" s="45">
        <v>0.02</v>
      </c>
      <c r="G86" s="44">
        <f t="shared" si="1"/>
        <v>4992.5210736806503</v>
      </c>
      <c r="H86" s="41">
        <f>G86*SUMIFS('01_主数据假设'!$J$26:$J$33,'01_主数据假设'!$H$26:$H$33,B86)/10000</f>
        <v>47.428950199966202</v>
      </c>
    </row>
    <row r="87" spans="1:8" ht="14.5">
      <c r="A87" s="12" t="s">
        <v>140</v>
      </c>
      <c r="B87" s="12" t="s">
        <v>171</v>
      </c>
      <c r="C87" s="12" t="s">
        <v>172</v>
      </c>
      <c r="D87" s="12" t="s">
        <v>173</v>
      </c>
      <c r="E87" s="44">
        <f>SUMIFS('04_BOM生产'!$H$46:$H$201,'04_BOM生产'!$A$46:$A$201,A87,'04_BOM生产'!$D$46:$D$201,B87)</f>
        <v>13365.4700118239</v>
      </c>
      <c r="F87" s="45">
        <v>0.03</v>
      </c>
      <c r="G87" s="44">
        <f t="shared" si="1"/>
        <v>13766.4341121786</v>
      </c>
      <c r="H87" s="41">
        <f>G87*SUMIFS('01_主数据假设'!$J$26:$J$33,'01_主数据假设'!$H$26:$H$33,B87)/10000</f>
        <v>121.144620187171</v>
      </c>
    </row>
    <row r="88" spans="1:8" ht="14.5">
      <c r="A88" s="12" t="s">
        <v>140</v>
      </c>
      <c r="B88" s="12" t="s">
        <v>176</v>
      </c>
      <c r="C88" s="12" t="s">
        <v>177</v>
      </c>
      <c r="D88" s="12" t="s">
        <v>178</v>
      </c>
      <c r="E88" s="44">
        <f>SUMIFS('04_BOM生产'!$H$46:$H$201,'04_BOM生产'!$A$46:$A$201,A88,'04_BOM生产'!$D$46:$D$201,B88)</f>
        <v>6188.38389645605</v>
      </c>
      <c r="F88" s="45">
        <v>0.02</v>
      </c>
      <c r="G88" s="44">
        <f t="shared" si="1"/>
        <v>6312.1515743851796</v>
      </c>
      <c r="H88" s="41">
        <f>G88*SUMIFS('01_主数据假设'!$J$26:$J$33,'01_主数据假设'!$H$26:$H$33,B88)/10000</f>
        <v>45.447491335573297</v>
      </c>
    </row>
    <row r="89" spans="1:8" ht="14.5">
      <c r="A89" s="12" t="s">
        <v>140</v>
      </c>
      <c r="B89" s="12" t="s">
        <v>179</v>
      </c>
      <c r="C89" s="12" t="s">
        <v>180</v>
      </c>
      <c r="D89" s="12" t="s">
        <v>181</v>
      </c>
      <c r="E89" s="44">
        <f>SUMIFS('04_BOM生产'!$H$46:$H$201,'04_BOM生产'!$A$46:$A$201,A89,'04_BOM生产'!$D$46:$D$201,B89)</f>
        <v>6188.38389645605</v>
      </c>
      <c r="F89" s="45">
        <v>0.02</v>
      </c>
      <c r="G89" s="44">
        <f t="shared" si="1"/>
        <v>6312.1515743851796</v>
      </c>
      <c r="H89" s="41">
        <f>G89*SUMIFS('01_主数据假设'!$J$26:$J$33,'01_主数据假设'!$H$26:$H$33,B89)/10000</f>
        <v>41.028985233503597</v>
      </c>
    </row>
    <row r="90" spans="1:8" ht="14.5">
      <c r="A90" s="12" t="s">
        <v>140</v>
      </c>
      <c r="B90" s="12" t="s">
        <v>183</v>
      </c>
      <c r="C90" s="12" t="s">
        <v>184</v>
      </c>
      <c r="D90" s="12" t="s">
        <v>185</v>
      </c>
      <c r="E90" s="44">
        <f>SUMIFS('04_BOM生产'!$H$46:$H$201,'04_BOM生产'!$A$46:$A$201,A90,'04_BOM生产'!$D$46:$D$201,B90)</f>
        <v>2348.29736551215</v>
      </c>
      <c r="F90" s="45">
        <v>0.03</v>
      </c>
      <c r="G90" s="44">
        <f t="shared" si="1"/>
        <v>2418.7462864775098</v>
      </c>
      <c r="H90" s="41">
        <f>G90*SUMIFS('01_主数据假设'!$J$26:$J$33,'01_主数据假设'!$H$26:$H$33,B90)/10000</f>
        <v>44.746806299833899</v>
      </c>
    </row>
    <row r="91" spans="1:8" ht="14.5">
      <c r="A91" s="12" t="s">
        <v>140</v>
      </c>
      <c r="B91" s="12" t="s">
        <v>186</v>
      </c>
      <c r="C91" s="12" t="s">
        <v>187</v>
      </c>
      <c r="D91" s="12" t="s">
        <v>185</v>
      </c>
      <c r="E91" s="44">
        <f>SUMIFS('04_BOM生产'!$H$46:$H$201,'04_BOM生产'!$A$46:$A$201,A91,'04_BOM生产'!$D$46:$D$201,B91)</f>
        <v>2348.29736551215</v>
      </c>
      <c r="F91" s="45">
        <v>0.03</v>
      </c>
      <c r="G91" s="44">
        <f t="shared" si="1"/>
        <v>2418.7462864775098</v>
      </c>
      <c r="H91" s="41">
        <f>G91*SUMIFS('01_主数据假设'!$J$26:$J$33,'01_主数据假设'!$H$26:$H$33,B91)/10000</f>
        <v>30.9599524669121</v>
      </c>
    </row>
    <row r="92" spans="1:8" ht="14.5">
      <c r="A92" s="12" t="s">
        <v>140</v>
      </c>
      <c r="B92" s="12" t="s">
        <v>188</v>
      </c>
      <c r="C92" s="12" t="s">
        <v>189</v>
      </c>
      <c r="D92" s="12" t="s">
        <v>190</v>
      </c>
      <c r="E92" s="44">
        <f>SUMIFS('04_BOM生产'!$H$46:$H$201,'04_BOM生产'!$A$46:$A$201,A92,'04_BOM生产'!$D$46:$D$201,B92)</f>
        <v>13299.630258071</v>
      </c>
      <c r="F92" s="45">
        <v>0.01</v>
      </c>
      <c r="G92" s="44">
        <f t="shared" si="1"/>
        <v>13432.626560651701</v>
      </c>
      <c r="H92" s="41">
        <f>G92*SUMIFS('01_主数据假设'!$J$26:$J$33,'01_主数据假设'!$H$26:$H$33,B92)/10000</f>
        <v>37.611354369824902</v>
      </c>
    </row>
    <row r="93" spans="1:8" ht="14.5">
      <c r="A93" s="12" t="s">
        <v>141</v>
      </c>
      <c r="B93" s="12" t="s">
        <v>159</v>
      </c>
      <c r="C93" s="12" t="s">
        <v>160</v>
      </c>
      <c r="D93" s="12" t="s">
        <v>161</v>
      </c>
      <c r="E93" s="44">
        <f>SUMIFS('04_BOM生产'!$H$46:$H$201,'04_BOM生产'!$A$46:$A$201,A93,'04_BOM生产'!$D$46:$D$201,B93)</f>
        <v>11609.8414754595</v>
      </c>
      <c r="F93" s="45">
        <v>0.02</v>
      </c>
      <c r="G93" s="44">
        <f t="shared" si="1"/>
        <v>11842.038304968701</v>
      </c>
      <c r="H93" s="41">
        <f>G93*SUMIFS('01_主数据假设'!$J$26:$J$33,'01_主数据假设'!$H$26:$H$33,B93)/10000</f>
        <v>248.68280440434299</v>
      </c>
    </row>
    <row r="94" spans="1:8" ht="14.5">
      <c r="A94" s="12" t="s">
        <v>141</v>
      </c>
      <c r="B94" s="12" t="s">
        <v>165</v>
      </c>
      <c r="C94" s="12" t="s">
        <v>166</v>
      </c>
      <c r="D94" s="12" t="s">
        <v>167</v>
      </c>
      <c r="E94" s="44">
        <f>SUMIFS('04_BOM生产'!$H$46:$H$201,'04_BOM生产'!$A$46:$A$201,A94,'04_BOM生产'!$D$46:$D$201,B94)</f>
        <v>5178.0591073809101</v>
      </c>
      <c r="F94" s="45">
        <v>0.02</v>
      </c>
      <c r="G94" s="44">
        <f t="shared" si="1"/>
        <v>5281.6202895285296</v>
      </c>
      <c r="H94" s="41">
        <f>G94*SUMIFS('01_主数据假设'!$J$26:$J$33,'01_主数据假设'!$H$26:$H$33,B94)/10000</f>
        <v>50.175392750520999</v>
      </c>
    </row>
    <row r="95" spans="1:8" ht="14.5">
      <c r="A95" s="12" t="s">
        <v>141</v>
      </c>
      <c r="B95" s="12" t="s">
        <v>171</v>
      </c>
      <c r="C95" s="12" t="s">
        <v>172</v>
      </c>
      <c r="D95" s="12" t="s">
        <v>173</v>
      </c>
      <c r="E95" s="44">
        <f>SUMIFS('04_BOM生产'!$H$46:$H$201,'04_BOM生产'!$A$46:$A$201,A95,'04_BOM生产'!$D$46:$D$201,B95)</f>
        <v>14051.7915544507</v>
      </c>
      <c r="F95" s="45">
        <v>0.03</v>
      </c>
      <c r="G95" s="44">
        <f t="shared" si="1"/>
        <v>14473.3453010842</v>
      </c>
      <c r="H95" s="41">
        <f>G95*SUMIFS('01_主数据假设'!$J$26:$J$33,'01_主数据假设'!$H$26:$H$33,B95)/10000</f>
        <v>127.36543864954101</v>
      </c>
    </row>
    <row r="96" spans="1:8" ht="14.5">
      <c r="A96" s="12" t="s">
        <v>141</v>
      </c>
      <c r="B96" s="12" t="s">
        <v>176</v>
      </c>
      <c r="C96" s="12" t="s">
        <v>177</v>
      </c>
      <c r="D96" s="12" t="s">
        <v>178</v>
      </c>
      <c r="E96" s="44">
        <f>SUMIFS('04_BOM生产'!$H$46:$H$201,'04_BOM生产'!$A$46:$A$201,A96,'04_BOM生产'!$D$46:$D$201,B96)</f>
        <v>6546.7312935782302</v>
      </c>
      <c r="F96" s="45">
        <v>0.02</v>
      </c>
      <c r="G96" s="44">
        <f t="shared" si="1"/>
        <v>6677.6659194497897</v>
      </c>
      <c r="H96" s="41">
        <f>G96*SUMIFS('01_主数据假设'!$J$26:$J$33,'01_主数据假设'!$H$26:$H$33,B96)/10000</f>
        <v>48.0791946200385</v>
      </c>
    </row>
    <row r="97" spans="1:8" ht="14.5">
      <c r="A97" s="12" t="s">
        <v>141</v>
      </c>
      <c r="B97" s="12" t="s">
        <v>179</v>
      </c>
      <c r="C97" s="12" t="s">
        <v>180</v>
      </c>
      <c r="D97" s="12" t="s">
        <v>181</v>
      </c>
      <c r="E97" s="44">
        <f>SUMIFS('04_BOM生产'!$H$46:$H$201,'04_BOM生产'!$A$46:$A$201,A97,'04_BOM生产'!$D$46:$D$201,B97)</f>
        <v>6546.7312935782302</v>
      </c>
      <c r="F97" s="45">
        <v>0.02</v>
      </c>
      <c r="G97" s="44">
        <f t="shared" si="1"/>
        <v>6677.6659194497897</v>
      </c>
      <c r="H97" s="41">
        <f>G97*SUMIFS('01_主数据假设'!$J$26:$J$33,'01_主数据假设'!$H$26:$H$33,B97)/10000</f>
        <v>43.404828476423702</v>
      </c>
    </row>
    <row r="98" spans="1:8" ht="14.5">
      <c r="A98" s="12" t="s">
        <v>141</v>
      </c>
      <c r="B98" s="12" t="s">
        <v>183</v>
      </c>
      <c r="C98" s="12" t="s">
        <v>184</v>
      </c>
      <c r="D98" s="12" t="s">
        <v>185</v>
      </c>
      <c r="E98" s="44">
        <f>SUMIFS('04_BOM生产'!$H$46:$H$201,'04_BOM生产'!$A$46:$A$201,A98,'04_BOM生产'!$D$46:$D$201,B98)</f>
        <v>2396.2218015430099</v>
      </c>
      <c r="F98" s="45">
        <v>0.03</v>
      </c>
      <c r="G98" s="44">
        <f t="shared" si="1"/>
        <v>2468.1084555892999</v>
      </c>
      <c r="H98" s="41">
        <f>G98*SUMIFS('01_主数据假设'!$J$26:$J$33,'01_主数据假设'!$H$26:$H$33,B98)/10000</f>
        <v>45.660006428401999</v>
      </c>
    </row>
    <row r="99" spans="1:8" ht="14.5">
      <c r="A99" s="12" t="s">
        <v>141</v>
      </c>
      <c r="B99" s="12" t="s">
        <v>186</v>
      </c>
      <c r="C99" s="12" t="s">
        <v>187</v>
      </c>
      <c r="D99" s="12" t="s">
        <v>185</v>
      </c>
      <c r="E99" s="44">
        <f>SUMIFS('04_BOM生产'!$H$46:$H$201,'04_BOM生产'!$A$46:$A$201,A99,'04_BOM生产'!$D$46:$D$201,B99)</f>
        <v>2396.2218015430099</v>
      </c>
      <c r="F99" s="45">
        <v>0.03</v>
      </c>
      <c r="G99" s="44">
        <f t="shared" si="1"/>
        <v>2468.1084555892999</v>
      </c>
      <c r="H99" s="41">
        <f>G99*SUMIFS('01_主数据假设'!$J$26:$J$33,'01_主数据假设'!$H$26:$H$33,B99)/10000</f>
        <v>31.591788231542999</v>
      </c>
    </row>
    <row r="100" spans="1:8" ht="14.5">
      <c r="A100" s="12" t="s">
        <v>141</v>
      </c>
      <c r="B100" s="12" t="s">
        <v>188</v>
      </c>
      <c r="C100" s="12" t="s">
        <v>189</v>
      </c>
      <c r="D100" s="12" t="s">
        <v>190</v>
      </c>
      <c r="E100" s="44">
        <f>SUMIFS('04_BOM生产'!$H$46:$H$201,'04_BOM生产'!$A$46:$A$201,A100,'04_BOM生产'!$D$46:$D$201,B100)</f>
        <v>13982.5709063992</v>
      </c>
      <c r="F100" s="45">
        <v>0.01</v>
      </c>
      <c r="G100" s="44">
        <f t="shared" si="1"/>
        <v>14122.3966154632</v>
      </c>
      <c r="H100" s="41">
        <f>G100*SUMIFS('01_主数据假设'!$J$26:$J$33,'01_主数据假设'!$H$26:$H$33,B100)/10000</f>
        <v>39.542710523296897</v>
      </c>
    </row>
    <row r="102" spans="1:8" ht="8" customHeight="1">
      <c r="A102" s="9"/>
      <c r="B102" s="9"/>
      <c r="C102" s="9"/>
      <c r="D102" s="9"/>
      <c r="E102" s="9"/>
      <c r="F102" s="9"/>
      <c r="G102" s="9"/>
      <c r="H102" s="9"/>
    </row>
  </sheetData>
  <mergeCells count="2">
    <mergeCell ref="A1:H1"/>
    <mergeCell ref="A2:H2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GridLines="0" workbookViewId="0">
      <selection sqref="A1:Q1"/>
    </sheetView>
  </sheetViews>
  <sheetFormatPr defaultColWidth="9" defaultRowHeight="14"/>
  <cols>
    <col min="1" max="1" width="12" customWidth="1"/>
    <col min="2" max="2" width="11" customWidth="1"/>
    <col min="3" max="3" width="16" customWidth="1"/>
    <col min="4" max="4" width="13" customWidth="1"/>
    <col min="5" max="16" width="11" customWidth="1"/>
    <col min="17" max="17" width="17" customWidth="1"/>
  </cols>
  <sheetData>
    <row r="1" spans="1:17" ht="34" customHeight="1">
      <c r="A1" s="65" t="s">
        <v>244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 ht="26" customHeight="1">
      <c r="A2" s="66" t="s">
        <v>245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6.5">
      <c r="A4" s="4" t="s">
        <v>104</v>
      </c>
      <c r="B4" s="5" t="s">
        <v>105</v>
      </c>
      <c r="C4" s="5" t="s">
        <v>145</v>
      </c>
      <c r="D4" s="5" t="s">
        <v>146</v>
      </c>
      <c r="E4" s="5" t="s">
        <v>130</v>
      </c>
      <c r="F4" s="5" t="s">
        <v>131</v>
      </c>
      <c r="G4" s="5" t="s">
        <v>132</v>
      </c>
      <c r="H4" s="5" t="s">
        <v>133</v>
      </c>
      <c r="I4" s="5" t="s">
        <v>134</v>
      </c>
      <c r="J4" s="5" t="s">
        <v>135</v>
      </c>
      <c r="K4" s="5" t="s">
        <v>136</v>
      </c>
      <c r="L4" s="5" t="s">
        <v>137</v>
      </c>
      <c r="M4" s="5" t="s">
        <v>138</v>
      </c>
      <c r="N4" s="5" t="s">
        <v>139</v>
      </c>
      <c r="O4" s="5" t="s">
        <v>140</v>
      </c>
      <c r="P4" s="5" t="s">
        <v>141</v>
      </c>
      <c r="Q4" s="6" t="s">
        <v>246</v>
      </c>
    </row>
    <row r="5" spans="1:17" ht="14.5">
      <c r="A5" s="10" t="s">
        <v>110</v>
      </c>
      <c r="B5" s="10" t="s">
        <v>111</v>
      </c>
      <c r="C5" s="10" t="s">
        <v>156</v>
      </c>
      <c r="D5" s="10" t="s">
        <v>157</v>
      </c>
      <c r="E5" s="40">
        <f>'01_主数据假设'!$B$7*'01_主数据假设'!$B$8*0.34*'01_主数据假设'!B$21*'01_主数据假设'!$C$26</f>
        <v>21.42</v>
      </c>
      <c r="F5" s="40">
        <f>'01_主数据假设'!$B$7*'01_主数据假设'!$B$8*0.34*'01_主数据假设'!C$21*'01_主数据假设'!$C$26</f>
        <v>18.36</v>
      </c>
      <c r="G5" s="40">
        <f>'01_主数据假设'!$B$7*'01_主数据假设'!$B$8*0.34*'01_主数据假设'!D$21*'01_主数据假设'!$C$26</f>
        <v>21.42</v>
      </c>
      <c r="H5" s="40">
        <f>'01_主数据假设'!$B$7*'01_主数据假设'!$B$8*0.34*'01_主数据假设'!E$21*'01_主数据假设'!$C$26</f>
        <v>22.95</v>
      </c>
      <c r="I5" s="40">
        <f>'01_主数据假设'!$B$7*'01_主数据假设'!$B$8*0.34*'01_主数据假设'!F$21*'01_主数据假设'!$C$26</f>
        <v>22.95</v>
      </c>
      <c r="J5" s="40">
        <f>'01_主数据假设'!$B$7*'01_主数据假设'!$B$8*0.34*'01_主数据假设'!G$21*'01_主数据假设'!$C$26</f>
        <v>24.48</v>
      </c>
      <c r="K5" s="40">
        <f>'01_主数据假设'!$B$7*'01_主数据假设'!$B$8*0.34*'01_主数据假设'!H$21*'01_主数据假设'!$C$26</f>
        <v>24.48</v>
      </c>
      <c r="L5" s="40">
        <f>'01_主数据假设'!$B$7*'01_主数据假设'!$B$8*0.34*'01_主数据假设'!I$21*'01_主数据假设'!$C$26</f>
        <v>24.48</v>
      </c>
      <c r="M5" s="40">
        <f>'01_主数据假设'!$B$7*'01_主数据假设'!$B$8*0.34*'01_主数据假设'!J$21*'01_主数据假设'!$C$26</f>
        <v>26.01</v>
      </c>
      <c r="N5" s="40">
        <f>'01_主数据假设'!$B$7*'01_主数据假设'!$B$8*0.34*'01_主数据假设'!K$21*'01_主数据假设'!$C$26</f>
        <v>27.54</v>
      </c>
      <c r="O5" s="40">
        <f>'01_主数据假设'!$B$7*'01_主数据假设'!$B$8*0.34*'01_主数据假设'!L$21*'01_主数据假设'!$C$26</f>
        <v>33.659999999999997</v>
      </c>
      <c r="P5" s="40">
        <f>'01_主数据假设'!$B$7*'01_主数据假设'!$B$8*0.34*'01_主数据假设'!M$21*'01_主数据假设'!$C$26</f>
        <v>38.25</v>
      </c>
      <c r="Q5" s="40">
        <f t="shared" ref="Q5:Q20" si="0">SUM(E5:P5)</f>
        <v>306</v>
      </c>
    </row>
    <row r="6" spans="1:17" ht="14.5">
      <c r="A6" s="12" t="s">
        <v>110</v>
      </c>
      <c r="B6" s="12" t="s">
        <v>111</v>
      </c>
      <c r="C6" s="12" t="s">
        <v>163</v>
      </c>
      <c r="D6" s="12" t="s">
        <v>157</v>
      </c>
      <c r="E6" s="41">
        <f>'01_主数据假设'!$B$7*'01_主数据假设'!$B$8*0.34*'01_主数据假设'!B$21*'01_主数据假设'!$C$27</f>
        <v>9.9960000000000004</v>
      </c>
      <c r="F6" s="41">
        <f>'01_主数据假设'!$B$7*'01_主数据假设'!$B$8*0.34*'01_主数据假设'!C$21*'01_主数据假设'!$C$27</f>
        <v>8.5679999999999996</v>
      </c>
      <c r="G6" s="41">
        <f>'01_主数据假设'!$B$7*'01_主数据假设'!$B$8*0.34*'01_主数据假设'!D$21*'01_主数据假设'!$C$27</f>
        <v>9.9960000000000004</v>
      </c>
      <c r="H6" s="41">
        <f>'01_主数据假设'!$B$7*'01_主数据假设'!$B$8*0.34*'01_主数据假设'!E$21*'01_主数据假设'!$C$27</f>
        <v>10.71</v>
      </c>
      <c r="I6" s="41">
        <f>'01_主数据假设'!$B$7*'01_主数据假设'!$B$8*0.34*'01_主数据假设'!F$21*'01_主数据假设'!$C$27</f>
        <v>10.71</v>
      </c>
      <c r="J6" s="41">
        <f>'01_主数据假设'!$B$7*'01_主数据假设'!$B$8*0.34*'01_主数据假设'!G$21*'01_主数据假设'!$C$27</f>
        <v>11.423999999999999</v>
      </c>
      <c r="K6" s="41">
        <f>'01_主数据假设'!$B$7*'01_主数据假设'!$B$8*0.34*'01_主数据假设'!H$21*'01_主数据假设'!$C$27</f>
        <v>11.423999999999999</v>
      </c>
      <c r="L6" s="41">
        <f>'01_主数据假设'!$B$7*'01_主数据假设'!$B$8*0.34*'01_主数据假设'!I$21*'01_主数据假设'!$C$27</f>
        <v>11.423999999999999</v>
      </c>
      <c r="M6" s="41">
        <f>'01_主数据假设'!$B$7*'01_主数据假设'!$B$8*0.34*'01_主数据假设'!J$21*'01_主数据假设'!$C$27</f>
        <v>12.138</v>
      </c>
      <c r="N6" s="41">
        <f>'01_主数据假设'!$B$7*'01_主数据假设'!$B$8*0.34*'01_主数据假设'!K$21*'01_主数据假设'!$C$27</f>
        <v>12.852</v>
      </c>
      <c r="O6" s="41">
        <f>'01_主数据假设'!$B$7*'01_主数据假设'!$B$8*0.34*'01_主数据假设'!L$21*'01_主数据假设'!$C$27</f>
        <v>15.708</v>
      </c>
      <c r="P6" s="41">
        <f>'01_主数据假设'!$B$7*'01_主数据假设'!$B$8*0.34*'01_主数据假设'!M$21*'01_主数据假设'!$C$27</f>
        <v>17.850000000000001</v>
      </c>
      <c r="Q6" s="41">
        <f t="shared" si="0"/>
        <v>142.80000000000001</v>
      </c>
    </row>
    <row r="7" spans="1:17" ht="14.5">
      <c r="A7" s="12" t="s">
        <v>110</v>
      </c>
      <c r="B7" s="12" t="s">
        <v>111</v>
      </c>
      <c r="C7" s="12" t="s">
        <v>168</v>
      </c>
      <c r="D7" s="12" t="s">
        <v>247</v>
      </c>
      <c r="E7" s="41">
        <f>'01_主数据假设'!$C$28</f>
        <v>38</v>
      </c>
      <c r="F7" s="41">
        <f>'01_主数据假设'!$C$28</f>
        <v>38</v>
      </c>
      <c r="G7" s="41">
        <f>'01_主数据假设'!$C$28</f>
        <v>38</v>
      </c>
      <c r="H7" s="41">
        <f>'01_主数据假设'!$C$28</f>
        <v>38</v>
      </c>
      <c r="I7" s="41">
        <f>'01_主数据假设'!$C$28</f>
        <v>38</v>
      </c>
      <c r="J7" s="41">
        <f>'01_主数据假设'!$C$28</f>
        <v>38</v>
      </c>
      <c r="K7" s="41">
        <f>'01_主数据假设'!$C$28</f>
        <v>38</v>
      </c>
      <c r="L7" s="41">
        <f>'01_主数据假设'!$C$28</f>
        <v>38</v>
      </c>
      <c r="M7" s="41">
        <f>'01_主数据假设'!$C$28</f>
        <v>38</v>
      </c>
      <c r="N7" s="41">
        <f>'01_主数据假设'!$C$28</f>
        <v>38</v>
      </c>
      <c r="O7" s="41">
        <f>'01_主数据假设'!$C$28</f>
        <v>38</v>
      </c>
      <c r="P7" s="41">
        <f>'01_主数据假设'!$C$28</f>
        <v>38</v>
      </c>
      <c r="Q7" s="41">
        <f t="shared" si="0"/>
        <v>456</v>
      </c>
    </row>
    <row r="8" spans="1:17" ht="14.5">
      <c r="A8" s="12" t="s">
        <v>110</v>
      </c>
      <c r="B8" s="12" t="s">
        <v>111</v>
      </c>
      <c r="C8" s="12" t="s">
        <v>174</v>
      </c>
      <c r="D8" s="12" t="s">
        <v>247</v>
      </c>
      <c r="E8" s="41">
        <f>'01_主数据假设'!$C$29</f>
        <v>22</v>
      </c>
      <c r="F8" s="41">
        <f>'01_主数据假设'!$C$29</f>
        <v>22</v>
      </c>
      <c r="G8" s="41">
        <f>'01_主数据假设'!$C$29</f>
        <v>22</v>
      </c>
      <c r="H8" s="41">
        <f>'01_主数据假设'!$C$29</f>
        <v>22</v>
      </c>
      <c r="I8" s="41">
        <f>'01_主数据假设'!$C$29</f>
        <v>22</v>
      </c>
      <c r="J8" s="41">
        <f>'01_主数据假设'!$C$29</f>
        <v>22</v>
      </c>
      <c r="K8" s="41">
        <f>'01_主数据假设'!$C$29</f>
        <v>22</v>
      </c>
      <c r="L8" s="41">
        <f>'01_主数据假设'!$C$29</f>
        <v>22</v>
      </c>
      <c r="M8" s="41">
        <f>'01_主数据假设'!$C$29</f>
        <v>22</v>
      </c>
      <c r="N8" s="41">
        <f>'01_主数据假设'!$C$29</f>
        <v>22</v>
      </c>
      <c r="O8" s="41">
        <f>'01_主数据假设'!$C$29</f>
        <v>22</v>
      </c>
      <c r="P8" s="41">
        <f>'01_主数据假设'!$C$29</f>
        <v>22</v>
      </c>
      <c r="Q8" s="41">
        <f t="shared" si="0"/>
        <v>264</v>
      </c>
    </row>
    <row r="9" spans="1:17" ht="14.5">
      <c r="A9" s="12" t="s">
        <v>115</v>
      </c>
      <c r="B9" s="12" t="s">
        <v>116</v>
      </c>
      <c r="C9" s="12" t="s">
        <v>156</v>
      </c>
      <c r="D9" s="12" t="s">
        <v>157</v>
      </c>
      <c r="E9" s="41">
        <f>'01_主数据假设'!$B$7*'01_主数据假设'!$B$8*0.27*'01_主数据假设'!B$21*'01_主数据假设'!$C$26</f>
        <v>17.010000000000002</v>
      </c>
      <c r="F9" s="41">
        <f>'01_主数据假设'!$B$7*'01_主数据假设'!$B$8*0.27*'01_主数据假设'!C$21*'01_主数据假设'!$C$26</f>
        <v>14.58</v>
      </c>
      <c r="G9" s="41">
        <f>'01_主数据假设'!$B$7*'01_主数据假设'!$B$8*0.27*'01_主数据假设'!D$21*'01_主数据假设'!$C$26</f>
        <v>17.010000000000002</v>
      </c>
      <c r="H9" s="41">
        <f>'01_主数据假设'!$B$7*'01_主数据假设'!$B$8*0.27*'01_主数据假设'!E$21*'01_主数据假设'!$C$26</f>
        <v>18.225000000000001</v>
      </c>
      <c r="I9" s="41">
        <f>'01_主数据假设'!$B$7*'01_主数据假设'!$B$8*0.27*'01_主数据假设'!F$21*'01_主数据假设'!$C$26</f>
        <v>18.225000000000001</v>
      </c>
      <c r="J9" s="41">
        <f>'01_主数据假设'!$B$7*'01_主数据假设'!$B$8*0.27*'01_主数据假设'!G$21*'01_主数据假设'!$C$26</f>
        <v>19.440000000000001</v>
      </c>
      <c r="K9" s="41">
        <f>'01_主数据假设'!$B$7*'01_主数据假设'!$B$8*0.27*'01_主数据假设'!H$21*'01_主数据假设'!$C$26</f>
        <v>19.440000000000001</v>
      </c>
      <c r="L9" s="41">
        <f>'01_主数据假设'!$B$7*'01_主数据假设'!$B$8*0.27*'01_主数据假设'!I$21*'01_主数据假设'!$C$26</f>
        <v>19.440000000000001</v>
      </c>
      <c r="M9" s="41">
        <f>'01_主数据假设'!$B$7*'01_主数据假设'!$B$8*0.27*'01_主数据假设'!J$21*'01_主数据假设'!$C$26</f>
        <v>20.655000000000001</v>
      </c>
      <c r="N9" s="41">
        <f>'01_主数据假设'!$B$7*'01_主数据假设'!$B$8*0.27*'01_主数据假设'!K$21*'01_主数据假设'!$C$26</f>
        <v>21.87</v>
      </c>
      <c r="O9" s="41">
        <f>'01_主数据假设'!$B$7*'01_主数据假设'!$B$8*0.27*'01_主数据假设'!L$21*'01_主数据假设'!$C$26</f>
        <v>26.73</v>
      </c>
      <c r="P9" s="41">
        <f>'01_主数据假设'!$B$7*'01_主数据假设'!$B$8*0.27*'01_主数据假设'!M$21*'01_主数据假设'!$C$26</f>
        <v>30.375</v>
      </c>
      <c r="Q9" s="41">
        <f t="shared" si="0"/>
        <v>243</v>
      </c>
    </row>
    <row r="10" spans="1:17" ht="14.5">
      <c r="A10" s="12" t="s">
        <v>115</v>
      </c>
      <c r="B10" s="12" t="s">
        <v>116</v>
      </c>
      <c r="C10" s="12" t="s">
        <v>163</v>
      </c>
      <c r="D10" s="12" t="s">
        <v>157</v>
      </c>
      <c r="E10" s="41">
        <f>'01_主数据假设'!$B$7*'01_主数据假设'!$B$8*0.27*'01_主数据假设'!B$21*'01_主数据假设'!$C$27</f>
        <v>7.9379999999999997</v>
      </c>
      <c r="F10" s="41">
        <f>'01_主数据假设'!$B$7*'01_主数据假设'!$B$8*0.27*'01_主数据假设'!C$21*'01_主数据假设'!$C$27</f>
        <v>6.8040000000000003</v>
      </c>
      <c r="G10" s="41">
        <f>'01_主数据假设'!$B$7*'01_主数据假设'!$B$8*0.27*'01_主数据假设'!D$21*'01_主数据假设'!$C$27</f>
        <v>7.9379999999999997</v>
      </c>
      <c r="H10" s="41">
        <f>'01_主数据假设'!$B$7*'01_主数据假设'!$B$8*0.27*'01_主数据假设'!E$21*'01_主数据假设'!$C$27</f>
        <v>8.5050000000000008</v>
      </c>
      <c r="I10" s="41">
        <f>'01_主数据假设'!$B$7*'01_主数据假设'!$B$8*0.27*'01_主数据假设'!F$21*'01_主数据假设'!$C$27</f>
        <v>8.5050000000000008</v>
      </c>
      <c r="J10" s="41">
        <f>'01_主数据假设'!$B$7*'01_主数据假设'!$B$8*0.27*'01_主数据假设'!G$21*'01_主数据假设'!$C$27</f>
        <v>9.0719999999999992</v>
      </c>
      <c r="K10" s="41">
        <f>'01_主数据假设'!$B$7*'01_主数据假设'!$B$8*0.27*'01_主数据假设'!H$21*'01_主数据假设'!$C$27</f>
        <v>9.0719999999999992</v>
      </c>
      <c r="L10" s="41">
        <f>'01_主数据假设'!$B$7*'01_主数据假设'!$B$8*0.27*'01_主数据假设'!I$21*'01_主数据假设'!$C$27</f>
        <v>9.0719999999999992</v>
      </c>
      <c r="M10" s="41">
        <f>'01_主数据假设'!$B$7*'01_主数据假设'!$B$8*0.27*'01_主数据假设'!J$21*'01_主数据假设'!$C$27</f>
        <v>9.6389999999999993</v>
      </c>
      <c r="N10" s="41">
        <f>'01_主数据假设'!$B$7*'01_主数据假设'!$B$8*0.27*'01_主数据假设'!K$21*'01_主数据假设'!$C$27</f>
        <v>10.206</v>
      </c>
      <c r="O10" s="41">
        <f>'01_主数据假设'!$B$7*'01_主数据假设'!$B$8*0.27*'01_主数据假设'!L$21*'01_主数据假设'!$C$27</f>
        <v>12.474</v>
      </c>
      <c r="P10" s="41">
        <f>'01_主数据假设'!$B$7*'01_主数据假设'!$B$8*0.27*'01_主数据假设'!M$21*'01_主数据假设'!$C$27</f>
        <v>14.175000000000001</v>
      </c>
      <c r="Q10" s="41">
        <f t="shared" si="0"/>
        <v>113.4</v>
      </c>
    </row>
    <row r="11" spans="1:17" ht="14.5">
      <c r="A11" s="12" t="s">
        <v>115</v>
      </c>
      <c r="B11" s="12" t="s">
        <v>116</v>
      </c>
      <c r="C11" s="12" t="s">
        <v>168</v>
      </c>
      <c r="D11" s="12" t="s">
        <v>247</v>
      </c>
      <c r="E11" s="41">
        <f>'01_主数据假设'!$C$28</f>
        <v>38</v>
      </c>
      <c r="F11" s="41">
        <f>'01_主数据假设'!$C$28</f>
        <v>38</v>
      </c>
      <c r="G11" s="41">
        <f>'01_主数据假设'!$C$28</f>
        <v>38</v>
      </c>
      <c r="H11" s="41">
        <f>'01_主数据假设'!$C$28</f>
        <v>38</v>
      </c>
      <c r="I11" s="41">
        <f>'01_主数据假设'!$C$28</f>
        <v>38</v>
      </c>
      <c r="J11" s="41">
        <f>'01_主数据假设'!$C$28</f>
        <v>38</v>
      </c>
      <c r="K11" s="41">
        <f>'01_主数据假设'!$C$28</f>
        <v>38</v>
      </c>
      <c r="L11" s="41">
        <f>'01_主数据假设'!$C$28</f>
        <v>38</v>
      </c>
      <c r="M11" s="41">
        <f>'01_主数据假设'!$C$28</f>
        <v>38</v>
      </c>
      <c r="N11" s="41">
        <f>'01_主数据假设'!$C$28</f>
        <v>38</v>
      </c>
      <c r="O11" s="41">
        <f>'01_主数据假设'!$C$28</f>
        <v>38</v>
      </c>
      <c r="P11" s="41">
        <f>'01_主数据假设'!$C$28</f>
        <v>38</v>
      </c>
      <c r="Q11" s="41">
        <f t="shared" si="0"/>
        <v>456</v>
      </c>
    </row>
    <row r="12" spans="1:17" ht="14.5">
      <c r="A12" s="12" t="s">
        <v>115</v>
      </c>
      <c r="B12" s="12" t="s">
        <v>116</v>
      </c>
      <c r="C12" s="12" t="s">
        <v>174</v>
      </c>
      <c r="D12" s="12" t="s">
        <v>247</v>
      </c>
      <c r="E12" s="41">
        <f>'01_主数据假设'!$C$29</f>
        <v>22</v>
      </c>
      <c r="F12" s="41">
        <f>'01_主数据假设'!$C$29</f>
        <v>22</v>
      </c>
      <c r="G12" s="41">
        <f>'01_主数据假设'!$C$29</f>
        <v>22</v>
      </c>
      <c r="H12" s="41">
        <f>'01_主数据假设'!$C$29</f>
        <v>22</v>
      </c>
      <c r="I12" s="41">
        <f>'01_主数据假设'!$C$29</f>
        <v>22</v>
      </c>
      <c r="J12" s="41">
        <f>'01_主数据假设'!$C$29</f>
        <v>22</v>
      </c>
      <c r="K12" s="41">
        <f>'01_主数据假设'!$C$29</f>
        <v>22</v>
      </c>
      <c r="L12" s="41">
        <f>'01_主数据假设'!$C$29</f>
        <v>22</v>
      </c>
      <c r="M12" s="41">
        <f>'01_主数据假设'!$C$29</f>
        <v>22</v>
      </c>
      <c r="N12" s="41">
        <f>'01_主数据假设'!$C$29</f>
        <v>22</v>
      </c>
      <c r="O12" s="41">
        <f>'01_主数据假设'!$C$29</f>
        <v>22</v>
      </c>
      <c r="P12" s="41">
        <f>'01_主数据假设'!$C$29</f>
        <v>22</v>
      </c>
      <c r="Q12" s="41">
        <f t="shared" si="0"/>
        <v>264</v>
      </c>
    </row>
    <row r="13" spans="1:17" ht="14.5">
      <c r="A13" s="12" t="s">
        <v>120</v>
      </c>
      <c r="B13" s="12" t="s">
        <v>121</v>
      </c>
      <c r="C13" s="12" t="s">
        <v>156</v>
      </c>
      <c r="D13" s="12" t="s">
        <v>157</v>
      </c>
      <c r="E13" s="41">
        <f>'01_主数据假设'!$B$7*'01_主数据假设'!$B$8*0.23*'01_主数据假设'!B$21*'01_主数据假设'!$C$26</f>
        <v>14.49</v>
      </c>
      <c r="F13" s="41">
        <f>'01_主数据假设'!$B$7*'01_主数据假设'!$B$8*0.23*'01_主数据假设'!C$21*'01_主数据假设'!$C$26</f>
        <v>12.42</v>
      </c>
      <c r="G13" s="41">
        <f>'01_主数据假设'!$B$7*'01_主数据假设'!$B$8*0.23*'01_主数据假设'!D$21*'01_主数据假设'!$C$26</f>
        <v>14.49</v>
      </c>
      <c r="H13" s="41">
        <f>'01_主数据假设'!$B$7*'01_主数据假设'!$B$8*0.23*'01_主数据假设'!E$21*'01_主数据假设'!$C$26</f>
        <v>15.525</v>
      </c>
      <c r="I13" s="41">
        <f>'01_主数据假设'!$B$7*'01_主数据假设'!$B$8*0.23*'01_主数据假设'!F$21*'01_主数据假设'!$C$26</f>
        <v>15.525</v>
      </c>
      <c r="J13" s="41">
        <f>'01_主数据假设'!$B$7*'01_主数据假设'!$B$8*0.23*'01_主数据假设'!G$21*'01_主数据假设'!$C$26</f>
        <v>16.559999999999999</v>
      </c>
      <c r="K13" s="41">
        <f>'01_主数据假设'!$B$7*'01_主数据假设'!$B$8*0.23*'01_主数据假设'!H$21*'01_主数据假设'!$C$26</f>
        <v>16.559999999999999</v>
      </c>
      <c r="L13" s="41">
        <f>'01_主数据假设'!$B$7*'01_主数据假设'!$B$8*0.23*'01_主数据假设'!I$21*'01_主数据假设'!$C$26</f>
        <v>16.559999999999999</v>
      </c>
      <c r="M13" s="41">
        <f>'01_主数据假设'!$B$7*'01_主数据假设'!$B$8*0.23*'01_主数据假设'!J$21*'01_主数据假设'!$C$26</f>
        <v>17.594999999999999</v>
      </c>
      <c r="N13" s="41">
        <f>'01_主数据假设'!$B$7*'01_主数据假设'!$B$8*0.23*'01_主数据假设'!K$21*'01_主数据假设'!$C$26</f>
        <v>18.63</v>
      </c>
      <c r="O13" s="41">
        <f>'01_主数据假设'!$B$7*'01_主数据假设'!$B$8*0.23*'01_主数据假设'!L$21*'01_主数据假设'!$C$26</f>
        <v>22.77</v>
      </c>
      <c r="P13" s="41">
        <f>'01_主数据假设'!$B$7*'01_主数据假设'!$B$8*0.23*'01_主数据假设'!M$21*'01_主数据假设'!$C$26</f>
        <v>25.875</v>
      </c>
      <c r="Q13" s="41">
        <f t="shared" si="0"/>
        <v>207</v>
      </c>
    </row>
    <row r="14" spans="1:17" ht="14.5">
      <c r="A14" s="12" t="s">
        <v>120</v>
      </c>
      <c r="B14" s="12" t="s">
        <v>121</v>
      </c>
      <c r="C14" s="12" t="s">
        <v>163</v>
      </c>
      <c r="D14" s="12" t="s">
        <v>157</v>
      </c>
      <c r="E14" s="41">
        <f>'01_主数据假设'!$B$7*'01_主数据假设'!$B$8*0.23*'01_主数据假设'!B$21*'01_主数据假设'!$C$27</f>
        <v>6.7619999999999996</v>
      </c>
      <c r="F14" s="41">
        <f>'01_主数据假设'!$B$7*'01_主数据假设'!$B$8*0.23*'01_主数据假设'!C$21*'01_主数据假设'!$C$27</f>
        <v>5.7960000000000003</v>
      </c>
      <c r="G14" s="41">
        <f>'01_主数据假设'!$B$7*'01_主数据假设'!$B$8*0.23*'01_主数据假设'!D$21*'01_主数据假设'!$C$27</f>
        <v>6.7619999999999996</v>
      </c>
      <c r="H14" s="41">
        <f>'01_主数据假设'!$B$7*'01_主数据假设'!$B$8*0.23*'01_主数据假设'!E$21*'01_主数据假设'!$C$27</f>
        <v>7.2450000000000001</v>
      </c>
      <c r="I14" s="41">
        <f>'01_主数据假设'!$B$7*'01_主数据假设'!$B$8*0.23*'01_主数据假设'!F$21*'01_主数据假设'!$C$27</f>
        <v>7.2450000000000001</v>
      </c>
      <c r="J14" s="41">
        <f>'01_主数据假设'!$B$7*'01_主数据假设'!$B$8*0.23*'01_主数据假设'!G$21*'01_主数据假设'!$C$27</f>
        <v>7.7279999999999998</v>
      </c>
      <c r="K14" s="41">
        <f>'01_主数据假设'!$B$7*'01_主数据假设'!$B$8*0.23*'01_主数据假设'!H$21*'01_主数据假设'!$C$27</f>
        <v>7.7279999999999998</v>
      </c>
      <c r="L14" s="41">
        <f>'01_主数据假设'!$B$7*'01_主数据假设'!$B$8*0.23*'01_主数据假设'!I$21*'01_主数据假设'!$C$27</f>
        <v>7.7279999999999998</v>
      </c>
      <c r="M14" s="41">
        <f>'01_主数据假设'!$B$7*'01_主数据假设'!$B$8*0.23*'01_主数据假设'!J$21*'01_主数据假设'!$C$27</f>
        <v>8.2110000000000003</v>
      </c>
      <c r="N14" s="41">
        <f>'01_主数据假设'!$B$7*'01_主数据假设'!$B$8*0.23*'01_主数据假设'!K$21*'01_主数据假设'!$C$27</f>
        <v>8.6940000000000008</v>
      </c>
      <c r="O14" s="41">
        <f>'01_主数据假设'!$B$7*'01_主数据假设'!$B$8*0.23*'01_主数据假设'!L$21*'01_主数据假设'!$C$27</f>
        <v>10.625999999999999</v>
      </c>
      <c r="P14" s="41">
        <f>'01_主数据假设'!$B$7*'01_主数据假设'!$B$8*0.23*'01_主数据假设'!M$21*'01_主数据假设'!$C$27</f>
        <v>12.074999999999999</v>
      </c>
      <c r="Q14" s="41">
        <f t="shared" si="0"/>
        <v>96.6</v>
      </c>
    </row>
    <row r="15" spans="1:17" ht="14.5">
      <c r="A15" s="12" t="s">
        <v>120</v>
      </c>
      <c r="B15" s="12" t="s">
        <v>121</v>
      </c>
      <c r="C15" s="12" t="s">
        <v>168</v>
      </c>
      <c r="D15" s="12" t="s">
        <v>247</v>
      </c>
      <c r="E15" s="41">
        <f>'01_主数据假设'!$C$28</f>
        <v>38</v>
      </c>
      <c r="F15" s="41">
        <f>'01_主数据假设'!$C$28</f>
        <v>38</v>
      </c>
      <c r="G15" s="41">
        <f>'01_主数据假设'!$C$28</f>
        <v>38</v>
      </c>
      <c r="H15" s="41">
        <f>'01_主数据假设'!$C$28</f>
        <v>38</v>
      </c>
      <c r="I15" s="41">
        <f>'01_主数据假设'!$C$28</f>
        <v>38</v>
      </c>
      <c r="J15" s="41">
        <f>'01_主数据假设'!$C$28</f>
        <v>38</v>
      </c>
      <c r="K15" s="41">
        <f>'01_主数据假设'!$C$28</f>
        <v>38</v>
      </c>
      <c r="L15" s="41">
        <f>'01_主数据假设'!$C$28</f>
        <v>38</v>
      </c>
      <c r="M15" s="41">
        <f>'01_主数据假设'!$C$28</f>
        <v>38</v>
      </c>
      <c r="N15" s="41">
        <f>'01_主数据假设'!$C$28</f>
        <v>38</v>
      </c>
      <c r="O15" s="41">
        <f>'01_主数据假设'!$C$28</f>
        <v>38</v>
      </c>
      <c r="P15" s="41">
        <f>'01_主数据假设'!$C$28</f>
        <v>38</v>
      </c>
      <c r="Q15" s="41">
        <f t="shared" si="0"/>
        <v>456</v>
      </c>
    </row>
    <row r="16" spans="1:17" ht="14.5">
      <c r="A16" s="12" t="s">
        <v>120</v>
      </c>
      <c r="B16" s="12" t="s">
        <v>121</v>
      </c>
      <c r="C16" s="12" t="s">
        <v>174</v>
      </c>
      <c r="D16" s="12" t="s">
        <v>247</v>
      </c>
      <c r="E16" s="41">
        <f>'01_主数据假设'!$C$29</f>
        <v>22</v>
      </c>
      <c r="F16" s="41">
        <f>'01_主数据假设'!$C$29</f>
        <v>22</v>
      </c>
      <c r="G16" s="41">
        <f>'01_主数据假设'!$C$29</f>
        <v>22</v>
      </c>
      <c r="H16" s="41">
        <f>'01_主数据假设'!$C$29</f>
        <v>22</v>
      </c>
      <c r="I16" s="41">
        <f>'01_主数据假设'!$C$29</f>
        <v>22</v>
      </c>
      <c r="J16" s="41">
        <f>'01_主数据假设'!$C$29</f>
        <v>22</v>
      </c>
      <c r="K16" s="41">
        <f>'01_主数据假设'!$C$29</f>
        <v>22</v>
      </c>
      <c r="L16" s="41">
        <f>'01_主数据假设'!$C$29</f>
        <v>22</v>
      </c>
      <c r="M16" s="41">
        <f>'01_主数据假设'!$C$29</f>
        <v>22</v>
      </c>
      <c r="N16" s="41">
        <f>'01_主数据假设'!$C$29</f>
        <v>22</v>
      </c>
      <c r="O16" s="41">
        <f>'01_主数据假设'!$C$29</f>
        <v>22</v>
      </c>
      <c r="P16" s="41">
        <f>'01_主数据假设'!$C$29</f>
        <v>22</v>
      </c>
      <c r="Q16" s="41">
        <f t="shared" si="0"/>
        <v>264</v>
      </c>
    </row>
    <row r="17" spans="1:17" ht="14.5">
      <c r="A17" s="12" t="s">
        <v>125</v>
      </c>
      <c r="B17" s="12" t="s">
        <v>126</v>
      </c>
      <c r="C17" s="12" t="s">
        <v>156</v>
      </c>
      <c r="D17" s="12" t="s">
        <v>157</v>
      </c>
      <c r="E17" s="41">
        <f>'01_主数据假设'!$B$7*'01_主数据假设'!$B$8*0.16*'01_主数据假设'!B$21*'01_主数据假设'!$C$26</f>
        <v>10.08</v>
      </c>
      <c r="F17" s="41">
        <f>'01_主数据假设'!$B$7*'01_主数据假设'!$B$8*0.16*'01_主数据假设'!C$21*'01_主数据假设'!$C$26</f>
        <v>8.64</v>
      </c>
      <c r="G17" s="41">
        <f>'01_主数据假设'!$B$7*'01_主数据假设'!$B$8*0.16*'01_主数据假设'!D$21*'01_主数据假设'!$C$26</f>
        <v>10.08</v>
      </c>
      <c r="H17" s="41">
        <f>'01_主数据假设'!$B$7*'01_主数据假设'!$B$8*0.16*'01_主数据假设'!E$21*'01_主数据假设'!$C$26</f>
        <v>10.8</v>
      </c>
      <c r="I17" s="41">
        <f>'01_主数据假设'!$B$7*'01_主数据假设'!$B$8*0.16*'01_主数据假设'!F$21*'01_主数据假设'!$C$26</f>
        <v>10.8</v>
      </c>
      <c r="J17" s="41">
        <f>'01_主数据假设'!$B$7*'01_主数据假设'!$B$8*0.16*'01_主数据假设'!G$21*'01_主数据假设'!$C$26</f>
        <v>11.52</v>
      </c>
      <c r="K17" s="41">
        <f>'01_主数据假设'!$B$7*'01_主数据假设'!$B$8*0.16*'01_主数据假设'!H$21*'01_主数据假设'!$C$26</f>
        <v>11.52</v>
      </c>
      <c r="L17" s="41">
        <f>'01_主数据假设'!$B$7*'01_主数据假设'!$B$8*0.16*'01_主数据假设'!I$21*'01_主数据假设'!$C$26</f>
        <v>11.52</v>
      </c>
      <c r="M17" s="41">
        <f>'01_主数据假设'!$B$7*'01_主数据假设'!$B$8*0.16*'01_主数据假设'!J$21*'01_主数据假设'!$C$26</f>
        <v>12.24</v>
      </c>
      <c r="N17" s="41">
        <f>'01_主数据假设'!$B$7*'01_主数据假设'!$B$8*0.16*'01_主数据假设'!K$21*'01_主数据假设'!$C$26</f>
        <v>12.96</v>
      </c>
      <c r="O17" s="41">
        <f>'01_主数据假设'!$B$7*'01_主数据假设'!$B$8*0.16*'01_主数据假设'!L$21*'01_主数据假设'!$C$26</f>
        <v>15.84</v>
      </c>
      <c r="P17" s="41">
        <f>'01_主数据假设'!$B$7*'01_主数据假设'!$B$8*0.16*'01_主数据假设'!M$21*'01_主数据假设'!$C$26</f>
        <v>18</v>
      </c>
      <c r="Q17" s="41">
        <f t="shared" si="0"/>
        <v>144</v>
      </c>
    </row>
    <row r="18" spans="1:17" ht="14.5">
      <c r="A18" s="12" t="s">
        <v>125</v>
      </c>
      <c r="B18" s="12" t="s">
        <v>126</v>
      </c>
      <c r="C18" s="12" t="s">
        <v>163</v>
      </c>
      <c r="D18" s="12" t="s">
        <v>157</v>
      </c>
      <c r="E18" s="41">
        <f>'01_主数据假设'!$B$7*'01_主数据假设'!$B$8*0.16*'01_主数据假设'!B$21*'01_主数据假设'!$C$27</f>
        <v>4.7039999999999997</v>
      </c>
      <c r="F18" s="41">
        <f>'01_主数据假设'!$B$7*'01_主数据假设'!$B$8*0.16*'01_主数据假设'!C$21*'01_主数据假设'!$C$27</f>
        <v>4.032</v>
      </c>
      <c r="G18" s="41">
        <f>'01_主数据假设'!$B$7*'01_主数据假设'!$B$8*0.16*'01_主数据假设'!D$21*'01_主数据假设'!$C$27</f>
        <v>4.7039999999999997</v>
      </c>
      <c r="H18" s="41">
        <f>'01_主数据假设'!$B$7*'01_主数据假设'!$B$8*0.16*'01_主数据假设'!E$21*'01_主数据假设'!$C$27</f>
        <v>5.04</v>
      </c>
      <c r="I18" s="41">
        <f>'01_主数据假设'!$B$7*'01_主数据假设'!$B$8*0.16*'01_主数据假设'!F$21*'01_主数据假设'!$C$27</f>
        <v>5.04</v>
      </c>
      <c r="J18" s="41">
        <f>'01_主数据假设'!$B$7*'01_主数据假设'!$B$8*0.16*'01_主数据假设'!G$21*'01_主数据假设'!$C$27</f>
        <v>5.3760000000000003</v>
      </c>
      <c r="K18" s="41">
        <f>'01_主数据假设'!$B$7*'01_主数据假设'!$B$8*0.16*'01_主数据假设'!H$21*'01_主数据假设'!$C$27</f>
        <v>5.3760000000000003</v>
      </c>
      <c r="L18" s="41">
        <f>'01_主数据假设'!$B$7*'01_主数据假设'!$B$8*0.16*'01_主数据假设'!I$21*'01_主数据假设'!$C$27</f>
        <v>5.3760000000000003</v>
      </c>
      <c r="M18" s="41">
        <f>'01_主数据假设'!$B$7*'01_主数据假设'!$B$8*0.16*'01_主数据假设'!J$21*'01_主数据假设'!$C$27</f>
        <v>5.7119999999999997</v>
      </c>
      <c r="N18" s="41">
        <f>'01_主数据假设'!$B$7*'01_主数据假设'!$B$8*0.16*'01_主数据假设'!K$21*'01_主数据假设'!$C$27</f>
        <v>6.048</v>
      </c>
      <c r="O18" s="41">
        <f>'01_主数据假设'!$B$7*'01_主数据假设'!$B$8*0.16*'01_主数据假设'!L$21*'01_主数据假设'!$C$27</f>
        <v>7.3920000000000003</v>
      </c>
      <c r="P18" s="41">
        <f>'01_主数据假设'!$B$7*'01_主数据假设'!$B$8*0.16*'01_主数据假设'!M$21*'01_主数据假设'!$C$27</f>
        <v>8.4</v>
      </c>
      <c r="Q18" s="41">
        <f t="shared" si="0"/>
        <v>67.2</v>
      </c>
    </row>
    <row r="19" spans="1:17" ht="14.5">
      <c r="A19" s="12" t="s">
        <v>125</v>
      </c>
      <c r="B19" s="12" t="s">
        <v>126</v>
      </c>
      <c r="C19" s="12" t="s">
        <v>168</v>
      </c>
      <c r="D19" s="12" t="s">
        <v>247</v>
      </c>
      <c r="E19" s="41">
        <f>'01_主数据假设'!$C$28</f>
        <v>38</v>
      </c>
      <c r="F19" s="41">
        <f>'01_主数据假设'!$C$28</f>
        <v>38</v>
      </c>
      <c r="G19" s="41">
        <f>'01_主数据假设'!$C$28</f>
        <v>38</v>
      </c>
      <c r="H19" s="41">
        <f>'01_主数据假设'!$C$28</f>
        <v>38</v>
      </c>
      <c r="I19" s="41">
        <f>'01_主数据假设'!$C$28</f>
        <v>38</v>
      </c>
      <c r="J19" s="41">
        <f>'01_主数据假设'!$C$28</f>
        <v>38</v>
      </c>
      <c r="K19" s="41">
        <f>'01_主数据假设'!$C$28</f>
        <v>38</v>
      </c>
      <c r="L19" s="41">
        <f>'01_主数据假设'!$C$28</f>
        <v>38</v>
      </c>
      <c r="M19" s="41">
        <f>'01_主数据假设'!$C$28</f>
        <v>38</v>
      </c>
      <c r="N19" s="41">
        <f>'01_主数据假设'!$C$28</f>
        <v>38</v>
      </c>
      <c r="O19" s="41">
        <f>'01_主数据假设'!$C$28</f>
        <v>38</v>
      </c>
      <c r="P19" s="41">
        <f>'01_主数据假设'!$C$28</f>
        <v>38</v>
      </c>
      <c r="Q19" s="41">
        <f t="shared" si="0"/>
        <v>456</v>
      </c>
    </row>
    <row r="20" spans="1:17" ht="14.5">
      <c r="A20" s="12" t="s">
        <v>125</v>
      </c>
      <c r="B20" s="12" t="s">
        <v>126</v>
      </c>
      <c r="C20" s="12" t="s">
        <v>174</v>
      </c>
      <c r="D20" s="12" t="s">
        <v>247</v>
      </c>
      <c r="E20" s="41">
        <f>'01_主数据假设'!$C$29</f>
        <v>22</v>
      </c>
      <c r="F20" s="41">
        <f>'01_主数据假设'!$C$29</f>
        <v>22</v>
      </c>
      <c r="G20" s="41">
        <f>'01_主数据假设'!$C$29</f>
        <v>22</v>
      </c>
      <c r="H20" s="41">
        <f>'01_主数据假设'!$C$29</f>
        <v>22</v>
      </c>
      <c r="I20" s="41">
        <f>'01_主数据假设'!$C$29</f>
        <v>22</v>
      </c>
      <c r="J20" s="41">
        <f>'01_主数据假设'!$C$29</f>
        <v>22</v>
      </c>
      <c r="K20" s="41">
        <f>'01_主数据假设'!$C$29</f>
        <v>22</v>
      </c>
      <c r="L20" s="41">
        <f>'01_主数据假设'!$C$29</f>
        <v>22</v>
      </c>
      <c r="M20" s="41">
        <f>'01_主数据假设'!$C$29</f>
        <v>22</v>
      </c>
      <c r="N20" s="41">
        <f>'01_主数据假设'!$C$29</f>
        <v>22</v>
      </c>
      <c r="O20" s="41">
        <f>'01_主数据假设'!$C$29</f>
        <v>22</v>
      </c>
      <c r="P20" s="41">
        <f>'01_主数据假设'!$C$29</f>
        <v>22</v>
      </c>
      <c r="Q20" s="41">
        <f t="shared" si="0"/>
        <v>264</v>
      </c>
    </row>
  </sheetData>
  <mergeCells count="2">
    <mergeCell ref="A1:Q1"/>
    <mergeCell ref="A2:Q2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3"/>
  <sheetViews>
    <sheetView showGridLines="0" workbookViewId="0">
      <selection sqref="A1:N1"/>
    </sheetView>
  </sheetViews>
  <sheetFormatPr defaultColWidth="9" defaultRowHeight="14"/>
  <cols>
    <col min="1" max="1" width="18" customWidth="1"/>
    <col min="2" max="13" width="12" customWidth="1"/>
    <col min="14" max="14" width="14" customWidth="1"/>
  </cols>
  <sheetData>
    <row r="1" spans="1:14" ht="34" customHeight="1">
      <c r="A1" s="65" t="s">
        <v>248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6" customHeight="1">
      <c r="A2" s="66" t="s">
        <v>249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4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6.5">
      <c r="A4" s="4" t="s">
        <v>250</v>
      </c>
      <c r="B4" s="5" t="s">
        <v>130</v>
      </c>
      <c r="C4" s="5" t="s">
        <v>131</v>
      </c>
      <c r="D4" s="5" t="s">
        <v>132</v>
      </c>
      <c r="E4" s="5" t="s">
        <v>133</v>
      </c>
      <c r="F4" s="5" t="s">
        <v>134</v>
      </c>
      <c r="G4" s="5" t="s">
        <v>135</v>
      </c>
      <c r="H4" s="5" t="s">
        <v>136</v>
      </c>
      <c r="I4" s="5" t="s">
        <v>137</v>
      </c>
      <c r="J4" s="5" t="s">
        <v>138</v>
      </c>
      <c r="K4" s="5" t="s">
        <v>139</v>
      </c>
      <c r="L4" s="5" t="s">
        <v>140</v>
      </c>
      <c r="M4" s="5" t="s">
        <v>141</v>
      </c>
      <c r="N4" s="6" t="s">
        <v>251</v>
      </c>
    </row>
    <row r="5" spans="1:14" ht="14.5">
      <c r="A5" s="32" t="s">
        <v>252</v>
      </c>
      <c r="B5" s="33">
        <f>SUMPRODUCT('03_销售预算'!$H$5:$H$52,'03_销售预算'!$F$5:$F$52)/10000</f>
        <v>840</v>
      </c>
      <c r="C5" s="33">
        <f>SUMPRODUCT('03_销售预算'!$I$5:$I$52,'03_销售预算'!$F$5:$F$52)/10000</f>
        <v>720</v>
      </c>
      <c r="D5" s="33">
        <f>SUMPRODUCT('03_销售预算'!$J$5:$J$52,'03_销售预算'!$F$5:$F$52)/10000</f>
        <v>840</v>
      </c>
      <c r="E5" s="33">
        <f>SUMPRODUCT('03_销售预算'!$K$5:$K$52,'03_销售预算'!$F$5:$F$52)/10000</f>
        <v>900</v>
      </c>
      <c r="F5" s="33">
        <f>SUMPRODUCT('03_销售预算'!$L$5:$L$52,'03_销售预算'!$F$5:$F$52)/10000</f>
        <v>900</v>
      </c>
      <c r="G5" s="33">
        <f>SUMPRODUCT('03_销售预算'!$M$5:$M$52,'03_销售预算'!$F$5:$F$52)/10000</f>
        <v>960</v>
      </c>
      <c r="H5" s="33">
        <f>SUMPRODUCT('03_销售预算'!$N$5:$N$52,'03_销售预算'!$F$5:$F$52)/10000</f>
        <v>960</v>
      </c>
      <c r="I5" s="33">
        <f>SUMPRODUCT('03_销售预算'!$O$5:$O$52,'03_销售预算'!$F$5:$F$52)/10000</f>
        <v>960</v>
      </c>
      <c r="J5" s="33">
        <f>SUMPRODUCT('03_销售预算'!$P$5:$P$52,'03_销售预算'!$F$5:$F$52)/10000</f>
        <v>1020</v>
      </c>
      <c r="K5" s="33">
        <f>SUMPRODUCT('03_销售预算'!$Q$5:$Q$52,'03_销售预算'!$F$5:$F$52)/10000</f>
        <v>1080</v>
      </c>
      <c r="L5" s="33">
        <f>SUMPRODUCT('03_销售预算'!$R$5:$R$52,'03_销售预算'!$F$5:$F$52)/10000</f>
        <v>1320</v>
      </c>
      <c r="M5" s="33">
        <f>SUMPRODUCT('03_销售预算'!$S$5:$S$52,'03_销售预算'!$F$5:$F$52)/10000</f>
        <v>1500</v>
      </c>
      <c r="N5" s="33">
        <f>SUM(B5:M5)</f>
        <v>12000</v>
      </c>
    </row>
    <row r="6" spans="1:14" ht="14.5">
      <c r="A6" s="12" t="s">
        <v>253</v>
      </c>
      <c r="B6" s="21">
        <f>SUMPRODUCT('03_销售预算'!$H$5:$H$52,'03_销售预算'!$G$5:$G$52)/10000</f>
        <v>410.15076760505502</v>
      </c>
      <c r="C6" s="21">
        <f>SUMPRODUCT('03_销售预算'!$I$5:$I$52,'03_销售预算'!$G$5:$G$52)/10000</f>
        <v>351.557800804333</v>
      </c>
      <c r="D6" s="21">
        <f>SUMPRODUCT('03_销售预算'!$J$5:$J$52,'03_销售预算'!$G$5:$G$52)/10000</f>
        <v>410.15076760505502</v>
      </c>
      <c r="E6" s="21">
        <f>SUMPRODUCT('03_销售预算'!$K$5:$K$52,'03_销售预算'!$G$5:$G$52)/10000</f>
        <v>439.447251005417</v>
      </c>
      <c r="F6" s="21">
        <f>SUMPRODUCT('03_销售预算'!$L$5:$L$52,'03_销售预算'!$G$5:$G$52)/10000</f>
        <v>439.447251005417</v>
      </c>
      <c r="G6" s="21">
        <f>SUMPRODUCT('03_销售预算'!$M$5:$M$52,'03_销售预算'!$G$5:$G$52)/10000</f>
        <v>468.74373440577801</v>
      </c>
      <c r="H6" s="21">
        <f>SUMPRODUCT('03_销售预算'!$N$5:$N$52,'03_销售预算'!$G$5:$G$52)/10000</f>
        <v>468.74373440577801</v>
      </c>
      <c r="I6" s="21">
        <f>SUMPRODUCT('03_销售预算'!$O$5:$O$52,'03_销售预算'!$G$5:$G$52)/10000</f>
        <v>468.74373440577801</v>
      </c>
      <c r="J6" s="21">
        <f>SUMPRODUCT('03_销售预算'!$P$5:$P$52,'03_销售预算'!$G$5:$G$52)/10000</f>
        <v>498.04021780613903</v>
      </c>
      <c r="K6" s="21">
        <f>SUMPRODUCT('03_销售预算'!$Q$5:$Q$52,'03_销售预算'!$G$5:$G$52)/10000</f>
        <v>527.33670120650004</v>
      </c>
      <c r="L6" s="21">
        <f>SUMPRODUCT('03_销售预算'!$R$5:$R$52,'03_销售预算'!$G$5:$G$52)/10000</f>
        <v>644.52263480794397</v>
      </c>
      <c r="M6" s="21">
        <f>SUMPRODUCT('03_销售预算'!$S$5:$S$52,'03_销售预算'!$G$5:$G$52)/10000</f>
        <v>732.41208500902803</v>
      </c>
      <c r="N6" s="34">
        <f>SUM(B6:M6)</f>
        <v>5859.2966800722197</v>
      </c>
    </row>
    <row r="7" spans="1:14" ht="14.5">
      <c r="A7" s="35" t="s">
        <v>254</v>
      </c>
      <c r="B7" s="36">
        <f t="shared" ref="B7:M7" si="0">B5-B6</f>
        <v>429.84923239494498</v>
      </c>
      <c r="C7" s="36">
        <f t="shared" si="0"/>
        <v>368.442199195667</v>
      </c>
      <c r="D7" s="36">
        <f t="shared" si="0"/>
        <v>429.84923239494498</v>
      </c>
      <c r="E7" s="36">
        <f t="shared" si="0"/>
        <v>460.552748994583</v>
      </c>
      <c r="F7" s="36">
        <f t="shared" si="0"/>
        <v>460.552748994583</v>
      </c>
      <c r="G7" s="36">
        <f t="shared" si="0"/>
        <v>491.25626559422199</v>
      </c>
      <c r="H7" s="36">
        <f t="shared" si="0"/>
        <v>491.25626559422199</v>
      </c>
      <c r="I7" s="36">
        <f t="shared" si="0"/>
        <v>491.25626559422199</v>
      </c>
      <c r="J7" s="36">
        <f t="shared" si="0"/>
        <v>521.959782193862</v>
      </c>
      <c r="K7" s="36">
        <f t="shared" si="0"/>
        <v>552.66329879349996</v>
      </c>
      <c r="L7" s="36">
        <f t="shared" si="0"/>
        <v>675.47736519205603</v>
      </c>
      <c r="M7" s="36">
        <f t="shared" si="0"/>
        <v>767.58791499097197</v>
      </c>
      <c r="N7" s="36">
        <f>SUM(B7:M7)</f>
        <v>6140.7033199277803</v>
      </c>
    </row>
    <row r="8" spans="1:14" ht="14.5">
      <c r="A8" s="12" t="s">
        <v>255</v>
      </c>
      <c r="B8" s="23">
        <f t="shared" ref="B8:N8" si="1">IFERROR(B7/B5,0)</f>
        <v>0.51172527666064804</v>
      </c>
      <c r="C8" s="23">
        <f t="shared" si="1"/>
        <v>0.51172527666064804</v>
      </c>
      <c r="D8" s="23">
        <f t="shared" si="1"/>
        <v>0.51172527666064804</v>
      </c>
      <c r="E8" s="23">
        <f t="shared" si="1"/>
        <v>0.51172527666064804</v>
      </c>
      <c r="F8" s="23">
        <f t="shared" si="1"/>
        <v>0.51172527666064804</v>
      </c>
      <c r="G8" s="23">
        <f t="shared" si="1"/>
        <v>0.51172527666064804</v>
      </c>
      <c r="H8" s="23">
        <f t="shared" si="1"/>
        <v>0.51172527666064804</v>
      </c>
      <c r="I8" s="23">
        <f t="shared" si="1"/>
        <v>0.51172527666064804</v>
      </c>
      <c r="J8" s="23">
        <f t="shared" si="1"/>
        <v>0.51172527666064804</v>
      </c>
      <c r="K8" s="23">
        <f t="shared" si="1"/>
        <v>0.51172527666064804</v>
      </c>
      <c r="L8" s="23">
        <f t="shared" si="1"/>
        <v>0.51172527666064804</v>
      </c>
      <c r="M8" s="23">
        <f t="shared" si="1"/>
        <v>0.51172527666064804</v>
      </c>
      <c r="N8" s="37">
        <f t="shared" si="1"/>
        <v>0.51172527666064804</v>
      </c>
    </row>
    <row r="9" spans="1:14" ht="14.5">
      <c r="A9" s="12" t="s">
        <v>156</v>
      </c>
      <c r="B9" s="21">
        <f>SUMIFS('06_费用预算'!$E$5:$E$20,'06_费用预算'!$C$5:$C$20,$A9)</f>
        <v>63</v>
      </c>
      <c r="C9" s="21">
        <f>SUMIFS('06_费用预算'!$F$5:$F$20,'06_费用预算'!$C$5:$C$20,$A9)</f>
        <v>54</v>
      </c>
      <c r="D9" s="21">
        <f>SUMIFS('06_费用预算'!$G$5:$G$20,'06_费用预算'!$C$5:$C$20,$A9)</f>
        <v>63</v>
      </c>
      <c r="E9" s="21">
        <f>SUMIFS('06_费用预算'!$H$5:$H$20,'06_费用预算'!$C$5:$C$20,$A9)</f>
        <v>67.5</v>
      </c>
      <c r="F9" s="21">
        <f>SUMIFS('06_费用预算'!$I$5:$I$20,'06_费用预算'!$C$5:$C$20,$A9)</f>
        <v>67.5</v>
      </c>
      <c r="G9" s="21">
        <f>SUMIFS('06_费用预算'!$J$5:$J$20,'06_费用预算'!$C$5:$C$20,$A9)</f>
        <v>72</v>
      </c>
      <c r="H9" s="21">
        <f>SUMIFS('06_费用预算'!$K$5:$K$20,'06_费用预算'!$C$5:$C$20,$A9)</f>
        <v>72</v>
      </c>
      <c r="I9" s="21">
        <f>SUMIFS('06_费用预算'!$L$5:$L$20,'06_费用预算'!$C$5:$C$20,$A9)</f>
        <v>72</v>
      </c>
      <c r="J9" s="21">
        <f>SUMIFS('06_费用预算'!$M$5:$M$20,'06_费用预算'!$C$5:$C$20,$A9)</f>
        <v>76.5</v>
      </c>
      <c r="K9" s="21">
        <f>SUMIFS('06_费用预算'!$N$5:$N$20,'06_费用预算'!$C$5:$C$20,$A9)</f>
        <v>81</v>
      </c>
      <c r="L9" s="21">
        <f>SUMIFS('06_费用预算'!$O$5:$O$20,'06_费用预算'!$C$5:$C$20,$A9)</f>
        <v>99</v>
      </c>
      <c r="M9" s="21">
        <f>SUMIFS('06_费用预算'!$P$5:$P$20,'06_费用预算'!$C$5:$C$20,$A9)</f>
        <v>112.5</v>
      </c>
      <c r="N9" s="34">
        <f>SUM(B9:M9)</f>
        <v>900</v>
      </c>
    </row>
    <row r="10" spans="1:14" ht="14.5">
      <c r="A10" s="12" t="s">
        <v>163</v>
      </c>
      <c r="B10" s="21">
        <f>SUMIFS('06_费用预算'!$E$5:$E$20,'06_费用预算'!$C$5:$C$20,$A10)</f>
        <v>29.4</v>
      </c>
      <c r="C10" s="21">
        <f>SUMIFS('06_费用预算'!$F$5:$F$20,'06_费用预算'!$C$5:$C$20,$A10)</f>
        <v>25.2</v>
      </c>
      <c r="D10" s="21">
        <f>SUMIFS('06_费用预算'!$G$5:$G$20,'06_费用预算'!$C$5:$C$20,$A10)</f>
        <v>29.4</v>
      </c>
      <c r="E10" s="21">
        <f>SUMIFS('06_费用预算'!$H$5:$H$20,'06_费用预算'!$C$5:$C$20,$A10)</f>
        <v>31.5</v>
      </c>
      <c r="F10" s="21">
        <f>SUMIFS('06_费用预算'!$I$5:$I$20,'06_费用预算'!$C$5:$C$20,$A10)</f>
        <v>31.5</v>
      </c>
      <c r="G10" s="21">
        <f>SUMIFS('06_费用预算'!$J$5:$J$20,'06_费用预算'!$C$5:$C$20,$A10)</f>
        <v>33.6</v>
      </c>
      <c r="H10" s="21">
        <f>SUMIFS('06_费用预算'!$K$5:$K$20,'06_费用预算'!$C$5:$C$20,$A10)</f>
        <v>33.6</v>
      </c>
      <c r="I10" s="21">
        <f>SUMIFS('06_费用预算'!$L$5:$L$20,'06_费用预算'!$C$5:$C$20,$A10)</f>
        <v>33.6</v>
      </c>
      <c r="J10" s="21">
        <f>SUMIFS('06_费用预算'!$M$5:$M$20,'06_费用预算'!$C$5:$C$20,$A10)</f>
        <v>35.700000000000003</v>
      </c>
      <c r="K10" s="21">
        <f>SUMIFS('06_费用预算'!$N$5:$N$20,'06_费用预算'!$C$5:$C$20,$A10)</f>
        <v>37.799999999999997</v>
      </c>
      <c r="L10" s="21">
        <f>SUMIFS('06_费用预算'!$O$5:$O$20,'06_费用预算'!$C$5:$C$20,$A10)</f>
        <v>46.2</v>
      </c>
      <c r="M10" s="21">
        <f>SUMIFS('06_费用预算'!$P$5:$P$20,'06_费用预算'!$C$5:$C$20,$A10)</f>
        <v>52.5</v>
      </c>
      <c r="N10" s="34">
        <f>SUM(B10:M10)</f>
        <v>420</v>
      </c>
    </row>
    <row r="11" spans="1:14" ht="14.5">
      <c r="A11" s="12" t="s">
        <v>168</v>
      </c>
      <c r="B11" s="21">
        <f>SUMIFS('06_费用预算'!$E$5:$E$20,'06_费用预算'!$C$5:$C$20,$A11)</f>
        <v>152</v>
      </c>
      <c r="C11" s="21">
        <f>SUMIFS('06_费用预算'!$F$5:$F$20,'06_费用预算'!$C$5:$C$20,$A11)</f>
        <v>152</v>
      </c>
      <c r="D11" s="21">
        <f>SUMIFS('06_费用预算'!$G$5:$G$20,'06_费用预算'!$C$5:$C$20,$A11)</f>
        <v>152</v>
      </c>
      <c r="E11" s="21">
        <f>SUMIFS('06_费用预算'!$H$5:$H$20,'06_费用预算'!$C$5:$C$20,$A11)</f>
        <v>152</v>
      </c>
      <c r="F11" s="21">
        <f>SUMIFS('06_费用预算'!$I$5:$I$20,'06_费用预算'!$C$5:$C$20,$A11)</f>
        <v>152</v>
      </c>
      <c r="G11" s="21">
        <f>SUMIFS('06_费用预算'!$J$5:$J$20,'06_费用预算'!$C$5:$C$20,$A11)</f>
        <v>152</v>
      </c>
      <c r="H11" s="21">
        <f>SUMIFS('06_费用预算'!$K$5:$K$20,'06_费用预算'!$C$5:$C$20,$A11)</f>
        <v>152</v>
      </c>
      <c r="I11" s="21">
        <f>SUMIFS('06_费用预算'!$L$5:$L$20,'06_费用预算'!$C$5:$C$20,$A11)</f>
        <v>152</v>
      </c>
      <c r="J11" s="21">
        <f>SUMIFS('06_费用预算'!$M$5:$M$20,'06_费用预算'!$C$5:$C$20,$A11)</f>
        <v>152</v>
      </c>
      <c r="K11" s="21">
        <f>SUMIFS('06_费用预算'!$N$5:$N$20,'06_费用预算'!$C$5:$C$20,$A11)</f>
        <v>152</v>
      </c>
      <c r="L11" s="21">
        <f>SUMIFS('06_费用预算'!$O$5:$O$20,'06_费用预算'!$C$5:$C$20,$A11)</f>
        <v>152</v>
      </c>
      <c r="M11" s="21">
        <f>SUMIFS('06_费用预算'!$P$5:$P$20,'06_费用预算'!$C$5:$C$20,$A11)</f>
        <v>152</v>
      </c>
      <c r="N11" s="34">
        <f>SUM(B11:M11)</f>
        <v>1824</v>
      </c>
    </row>
    <row r="12" spans="1:14" ht="14.5">
      <c r="A12" s="12" t="s">
        <v>174</v>
      </c>
      <c r="B12" s="21">
        <f>SUMIFS('06_费用预算'!$E$5:$E$20,'06_费用预算'!$C$5:$C$20,$A12)</f>
        <v>88</v>
      </c>
      <c r="C12" s="21">
        <f>SUMIFS('06_费用预算'!$F$5:$F$20,'06_费用预算'!$C$5:$C$20,$A12)</f>
        <v>88</v>
      </c>
      <c r="D12" s="21">
        <f>SUMIFS('06_费用预算'!$G$5:$G$20,'06_费用预算'!$C$5:$C$20,$A12)</f>
        <v>88</v>
      </c>
      <c r="E12" s="21">
        <f>SUMIFS('06_费用预算'!$H$5:$H$20,'06_费用预算'!$C$5:$C$20,$A12)</f>
        <v>88</v>
      </c>
      <c r="F12" s="21">
        <f>SUMIFS('06_费用预算'!$I$5:$I$20,'06_费用预算'!$C$5:$C$20,$A12)</f>
        <v>88</v>
      </c>
      <c r="G12" s="21">
        <f>SUMIFS('06_费用预算'!$J$5:$J$20,'06_费用预算'!$C$5:$C$20,$A12)</f>
        <v>88</v>
      </c>
      <c r="H12" s="21">
        <f>SUMIFS('06_费用预算'!$K$5:$K$20,'06_费用预算'!$C$5:$C$20,$A12)</f>
        <v>88</v>
      </c>
      <c r="I12" s="21">
        <f>SUMIFS('06_费用预算'!$L$5:$L$20,'06_费用预算'!$C$5:$C$20,$A12)</f>
        <v>88</v>
      </c>
      <c r="J12" s="21">
        <f>SUMIFS('06_费用预算'!$M$5:$M$20,'06_费用预算'!$C$5:$C$20,$A12)</f>
        <v>88</v>
      </c>
      <c r="K12" s="21">
        <f>SUMIFS('06_费用预算'!$N$5:$N$20,'06_费用预算'!$C$5:$C$20,$A12)</f>
        <v>88</v>
      </c>
      <c r="L12" s="21">
        <f>SUMIFS('06_费用预算'!$O$5:$O$20,'06_费用预算'!$C$5:$C$20,$A12)</f>
        <v>88</v>
      </c>
      <c r="M12" s="21">
        <f>SUMIFS('06_费用预算'!$P$5:$P$20,'06_费用预算'!$C$5:$C$20,$A12)</f>
        <v>88</v>
      </c>
      <c r="N12" s="34">
        <f>SUM(B12:M12)</f>
        <v>1056</v>
      </c>
    </row>
    <row r="13" spans="1:14" ht="14.5">
      <c r="A13" s="38" t="s">
        <v>256</v>
      </c>
      <c r="B13" s="39">
        <f t="shared" ref="B13:M13" si="2">B7-SUM(B9:B12)</f>
        <v>97.449232394944602</v>
      </c>
      <c r="C13" s="39">
        <f t="shared" si="2"/>
        <v>49.2421991956667</v>
      </c>
      <c r="D13" s="39">
        <f t="shared" si="2"/>
        <v>97.449232394944602</v>
      </c>
      <c r="E13" s="39">
        <f t="shared" si="2"/>
        <v>121.552748994583</v>
      </c>
      <c r="F13" s="39">
        <f t="shared" si="2"/>
        <v>121.552748994583</v>
      </c>
      <c r="G13" s="39">
        <f t="shared" si="2"/>
        <v>145.65626559422199</v>
      </c>
      <c r="H13" s="39">
        <f t="shared" si="2"/>
        <v>145.65626559422199</v>
      </c>
      <c r="I13" s="39">
        <f t="shared" si="2"/>
        <v>145.65626559422199</v>
      </c>
      <c r="J13" s="39">
        <f t="shared" si="2"/>
        <v>169.75978219386101</v>
      </c>
      <c r="K13" s="39">
        <f t="shared" si="2"/>
        <v>193.86329879350001</v>
      </c>
      <c r="L13" s="39">
        <f t="shared" si="2"/>
        <v>290.27736519205598</v>
      </c>
      <c r="M13" s="39">
        <f t="shared" si="2"/>
        <v>362.58791499097202</v>
      </c>
      <c r="N13" s="39">
        <f>SUM(B13:M13)</f>
        <v>1940.7033199277801</v>
      </c>
    </row>
    <row r="14" spans="1:14" ht="14.5">
      <c r="A14" s="12" t="s">
        <v>257</v>
      </c>
      <c r="B14" s="23">
        <f t="shared" ref="B14:N14" si="3">IFERROR(B13/B5,0)</f>
        <v>0.116010990946363</v>
      </c>
      <c r="C14" s="23">
        <f t="shared" si="3"/>
        <v>6.8391943327314797E-2</v>
      </c>
      <c r="D14" s="23">
        <f t="shared" si="3"/>
        <v>0.116010990946363</v>
      </c>
      <c r="E14" s="23">
        <f t="shared" si="3"/>
        <v>0.135058609993982</v>
      </c>
      <c r="F14" s="23">
        <f t="shared" si="3"/>
        <v>0.135058609993982</v>
      </c>
      <c r="G14" s="23">
        <f t="shared" si="3"/>
        <v>0.151725276660648</v>
      </c>
      <c r="H14" s="23">
        <f t="shared" si="3"/>
        <v>0.151725276660648</v>
      </c>
      <c r="I14" s="23">
        <f t="shared" si="3"/>
        <v>0.151725276660648</v>
      </c>
      <c r="J14" s="23">
        <f t="shared" si="3"/>
        <v>0.16643115901359001</v>
      </c>
      <c r="K14" s="23">
        <f t="shared" si="3"/>
        <v>0.17950305443842601</v>
      </c>
      <c r="L14" s="23">
        <f t="shared" si="3"/>
        <v>0.21990709484246601</v>
      </c>
      <c r="M14" s="23">
        <f t="shared" si="3"/>
        <v>0.241725276660648</v>
      </c>
      <c r="N14" s="37">
        <f t="shared" si="3"/>
        <v>0.16172527666064801</v>
      </c>
    </row>
    <row r="15" spans="1:14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6.5">
      <c r="A17" s="74" t="s">
        <v>258</v>
      </c>
      <c r="B17" s="74"/>
      <c r="C17" s="74"/>
      <c r="D17" s="74"/>
      <c r="E17" s="74"/>
      <c r="F17" s="74"/>
      <c r="G17" s="3"/>
      <c r="H17" s="3"/>
      <c r="I17" s="3"/>
      <c r="J17" s="3"/>
      <c r="K17" s="3"/>
      <c r="L17" s="3"/>
      <c r="M17" s="3"/>
      <c r="N17" s="3"/>
    </row>
    <row r="18" spans="1:14" ht="16.5">
      <c r="A18" s="4" t="s">
        <v>129</v>
      </c>
      <c r="B18" s="5" t="s">
        <v>259</v>
      </c>
      <c r="C18" s="5" t="s">
        <v>260</v>
      </c>
      <c r="D18" s="5" t="s">
        <v>261</v>
      </c>
      <c r="E18" s="5" t="s">
        <v>262</v>
      </c>
      <c r="F18" s="6" t="s">
        <v>263</v>
      </c>
      <c r="G18" s="3"/>
      <c r="H18" s="3"/>
      <c r="I18" s="3"/>
      <c r="J18" s="3"/>
      <c r="K18" s="3"/>
      <c r="L18" s="3"/>
      <c r="M18" s="3"/>
      <c r="N18" s="3"/>
    </row>
    <row r="19" spans="1:14" ht="16.5">
      <c r="A19" s="10" t="s">
        <v>264</v>
      </c>
      <c r="B19" s="20">
        <f>SUM('03_销售预算'!$U$5:$U$52)/SUM('02_目标分解'!$G$5:$G$16)</f>
        <v>1</v>
      </c>
      <c r="C19" s="20">
        <v>0.995</v>
      </c>
      <c r="D19" s="10" t="str">
        <f>IF(B19&gt;=C19,"绿灯",IF(B19&gt;=C19*0.95,"黄灯","红灯"))</f>
        <v>绿灯</v>
      </c>
      <c r="E19" s="10" t="s">
        <v>265</v>
      </c>
      <c r="F19" s="10" t="s">
        <v>266</v>
      </c>
      <c r="G19" s="3"/>
      <c r="H19" s="3"/>
      <c r="I19" s="3"/>
      <c r="J19" s="3"/>
      <c r="K19" s="3"/>
      <c r="L19" s="3"/>
      <c r="M19" s="3"/>
      <c r="N19" s="3"/>
    </row>
    <row r="20" spans="1:14" ht="16.5">
      <c r="A20" s="12" t="s">
        <v>255</v>
      </c>
      <c r="B20" s="23">
        <f>N8</f>
        <v>0.51172527666064804</v>
      </c>
      <c r="C20" s="23">
        <v>0.34</v>
      </c>
      <c r="D20" s="12" t="str">
        <f>IF(B20&gt;=C20,"绿灯",IF(B20&gt;=C20*0.95,"黄灯","红灯"))</f>
        <v>绿灯</v>
      </c>
      <c r="E20" s="12" t="s">
        <v>267</v>
      </c>
      <c r="F20" s="12" t="s">
        <v>268</v>
      </c>
      <c r="G20" s="3"/>
      <c r="H20" s="3"/>
      <c r="I20" s="3"/>
      <c r="J20" s="3"/>
      <c r="K20" s="3"/>
      <c r="L20" s="3"/>
      <c r="M20" s="3"/>
      <c r="N20" s="3"/>
    </row>
    <row r="21" spans="1:14" ht="16.5">
      <c r="A21" s="12" t="s">
        <v>257</v>
      </c>
      <c r="B21" s="23">
        <f>N14</f>
        <v>0.16172527666064801</v>
      </c>
      <c r="C21" s="23">
        <v>0.1</v>
      </c>
      <c r="D21" s="12" t="str">
        <f>IF(B21&gt;=C21,"绿灯",IF(B21&gt;=C21*0.95,"黄灯","红灯"))</f>
        <v>绿灯</v>
      </c>
      <c r="E21" s="12" t="s">
        <v>269</v>
      </c>
      <c r="F21" s="12" t="s">
        <v>270</v>
      </c>
      <c r="G21" s="3"/>
      <c r="H21" s="3"/>
      <c r="I21" s="3"/>
      <c r="J21" s="3"/>
      <c r="K21" s="3"/>
      <c r="L21" s="3"/>
      <c r="M21" s="3"/>
      <c r="N21" s="3"/>
    </row>
    <row r="23" spans="1:14" ht="8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mergeCells count="3">
    <mergeCell ref="A1:N1"/>
    <mergeCell ref="A2:N2"/>
    <mergeCell ref="A17:F17"/>
  </mergeCells>
  <phoneticPr fontId="20" type="noConversion"/>
  <conditionalFormatting sqref="D19:D21">
    <cfRule type="expression" dxfId="7" priority="1">
      <formula>D19="绿灯"</formula>
    </cfRule>
    <cfRule type="expression" dxfId="6" priority="2">
      <formula>D19="黄灯"</formula>
    </cfRule>
    <cfRule type="expression" dxfId="5" priority="3">
      <formula>D19="红灯"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B6"/>
  <sheetViews>
    <sheetView workbookViewId="0"/>
  </sheetViews>
  <sheetFormatPr defaultColWidth="8.453125" defaultRowHeight="14"/>
  <sheetData>
    <row r="4" spans="1:2">
      <c r="A4">
        <v>1</v>
      </c>
      <c r="B4" s="31" t="s">
        <v>271</v>
      </c>
    </row>
    <row r="6" spans="1:2">
      <c r="A6">
        <v>2</v>
      </c>
      <c r="B6" s="31" t="s">
        <v>272</v>
      </c>
    </row>
  </sheetData>
  <phoneticPr fontId="20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4:B8"/>
  <sheetViews>
    <sheetView workbookViewId="0"/>
  </sheetViews>
  <sheetFormatPr defaultColWidth="8.453125" defaultRowHeight="14"/>
  <sheetData>
    <row r="4" spans="2:2">
      <c r="B4" s="30" t="s">
        <v>273</v>
      </c>
    </row>
    <row r="6" spans="2:2">
      <c r="B6" s="30" t="s">
        <v>274</v>
      </c>
    </row>
    <row r="8" spans="2:2">
      <c r="B8" s="31" t="s">
        <v>275</v>
      </c>
    </row>
  </sheetData>
  <phoneticPr fontId="20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7"/>
  <sheetViews>
    <sheetView showGridLines="0" workbookViewId="0">
      <selection sqref="A1:P1"/>
    </sheetView>
  </sheetViews>
  <sheetFormatPr defaultColWidth="9" defaultRowHeight="14"/>
  <cols>
    <col min="1" max="1" width="18" customWidth="1"/>
    <col min="2" max="13" width="12" customWidth="1"/>
    <col min="14" max="16" width="14" customWidth="1"/>
  </cols>
  <sheetData>
    <row r="1" spans="1:16" ht="34" customHeight="1">
      <c r="A1" s="65" t="s">
        <v>276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6" customHeight="1">
      <c r="A2" s="66" t="s">
        <v>277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6.5">
      <c r="A4" s="4" t="s">
        <v>129</v>
      </c>
      <c r="B4" s="5" t="s">
        <v>130</v>
      </c>
      <c r="C4" s="5" t="s">
        <v>131</v>
      </c>
      <c r="D4" s="5" t="s">
        <v>132</v>
      </c>
      <c r="E4" s="5" t="s">
        <v>133</v>
      </c>
      <c r="F4" s="5" t="s">
        <v>134</v>
      </c>
      <c r="G4" s="5" t="s">
        <v>135</v>
      </c>
      <c r="H4" s="5" t="s">
        <v>136</v>
      </c>
      <c r="I4" s="5" t="s">
        <v>137</v>
      </c>
      <c r="J4" s="5" t="s">
        <v>138</v>
      </c>
      <c r="K4" s="5" t="s">
        <v>139</v>
      </c>
      <c r="L4" s="5" t="s">
        <v>140</v>
      </c>
      <c r="M4" s="5" t="s">
        <v>141</v>
      </c>
      <c r="N4" s="5" t="s">
        <v>278</v>
      </c>
      <c r="O4" s="5" t="s">
        <v>279</v>
      </c>
      <c r="P4" s="6" t="s">
        <v>280</v>
      </c>
    </row>
    <row r="5" spans="1:16" ht="14.5">
      <c r="A5" s="10" t="s">
        <v>252</v>
      </c>
      <c r="B5" s="24">
        <f>'07_损益预算'!B5*0.94</f>
        <v>789.6</v>
      </c>
      <c r="C5" s="24">
        <f>'07_损益预算'!C5*1.02</f>
        <v>734.4</v>
      </c>
      <c r="D5" s="24">
        <f>'07_损益预算'!D5*0.97</f>
        <v>814.8</v>
      </c>
      <c r="E5" s="24">
        <f>'07_损益预算'!E5*1.05</f>
        <v>945</v>
      </c>
      <c r="F5" s="25">
        <f>'07_损益预算'!F5*1.01</f>
        <v>909</v>
      </c>
      <c r="G5" s="25">
        <f>'07_损益预算'!G5*1.02</f>
        <v>979.2</v>
      </c>
      <c r="H5" s="25">
        <f>'07_损益预算'!H5*1.03</f>
        <v>988.8</v>
      </c>
      <c r="I5" s="25">
        <f>'07_损益预算'!I5*1.03</f>
        <v>988.8</v>
      </c>
      <c r="J5" s="25">
        <f>'07_损益预算'!J5*1.04</f>
        <v>1060.8</v>
      </c>
      <c r="K5" s="25">
        <f>'07_损益预算'!K5*1.04</f>
        <v>1123.2</v>
      </c>
      <c r="L5" s="25">
        <f>'07_损益预算'!L5*1.05</f>
        <v>1386</v>
      </c>
      <c r="M5" s="25">
        <f>'07_损益预算'!M5*1.06</f>
        <v>1590</v>
      </c>
      <c r="N5" s="18">
        <f>'07_损益预算'!N5</f>
        <v>12000</v>
      </c>
      <c r="O5" s="18">
        <f>SUM(B5:M5)</f>
        <v>12309.6</v>
      </c>
      <c r="P5" s="18">
        <f>O5-N5</f>
        <v>309.60000000000201</v>
      </c>
    </row>
    <row r="6" spans="1:16" ht="14.5">
      <c r="A6" s="12" t="s">
        <v>254</v>
      </c>
      <c r="B6" s="26">
        <f>'07_损益预算'!B7*0.921199999999999</f>
        <v>395.97711288222303</v>
      </c>
      <c r="C6" s="26">
        <f>'07_损益预算'!C7*0.9996</f>
        <v>368.29482231598797</v>
      </c>
      <c r="D6" s="26">
        <f>'07_损益预算'!D7*0.9506</f>
        <v>408.61468031463397</v>
      </c>
      <c r="E6" s="26">
        <f>'07_损益预算'!E7*1.029</f>
        <v>473.90877871542602</v>
      </c>
      <c r="F6" s="27">
        <f>'07_损益预算'!F7*1.01</f>
        <v>465.15827648452898</v>
      </c>
      <c r="G6" s="27">
        <f>'07_损益预算'!G7*1.02</f>
        <v>501.081390906107</v>
      </c>
      <c r="H6" s="27">
        <f>'07_损益预算'!H7*1.03</f>
        <v>505.993953562049</v>
      </c>
      <c r="I6" s="27">
        <f>'07_损益预算'!I7*1.03</f>
        <v>505.993953562049</v>
      </c>
      <c r="J6" s="27">
        <f>'07_损益预算'!J7*1.04</f>
        <v>542.83817348161597</v>
      </c>
      <c r="K6" s="27">
        <f>'07_损益预算'!K7*1.04</f>
        <v>574.76983074524003</v>
      </c>
      <c r="L6" s="27">
        <f>'07_损益预算'!L7*1.05</f>
        <v>709.25123345165798</v>
      </c>
      <c r="M6" s="27">
        <f>'07_损益预算'!M7*1.06</f>
        <v>813.64318989043102</v>
      </c>
      <c r="N6" s="21">
        <f>'07_损益预算'!N7</f>
        <v>6140.7033199277803</v>
      </c>
      <c r="O6" s="21">
        <f>SUM(B6:M6)</f>
        <v>6265.5253963119503</v>
      </c>
      <c r="P6" s="21">
        <f>O6-N6</f>
        <v>124.82207638417199</v>
      </c>
    </row>
    <row r="7" spans="1:16" ht="14.5">
      <c r="A7" s="12" t="s">
        <v>256</v>
      </c>
      <c r="B7" s="26">
        <f>'07_损益预算'!B13*0.8648</f>
        <v>84.274096175148102</v>
      </c>
      <c r="C7" s="26">
        <f>'07_损益预算'!C13*0.9384</f>
        <v>46.208879725213599</v>
      </c>
      <c r="D7" s="26">
        <f>'07_损益预算'!D13*0.8924</f>
        <v>86.963694989248594</v>
      </c>
      <c r="E7" s="26">
        <f>'07_损益预算'!E13*0.966</f>
        <v>117.419955528768</v>
      </c>
      <c r="F7" s="27">
        <f>'07_损益预算'!F13*1.01</f>
        <v>122.768276484529</v>
      </c>
      <c r="G7" s="27">
        <f>'07_损益预算'!G13*1.02</f>
        <v>148.569390906107</v>
      </c>
      <c r="H7" s="27">
        <f>'07_损益预算'!H13*1.03</f>
        <v>150.02595356204901</v>
      </c>
      <c r="I7" s="27">
        <f>'07_损益预算'!I13*1.03</f>
        <v>150.02595356204901</v>
      </c>
      <c r="J7" s="27">
        <f>'07_损益预算'!J13*1.04</f>
        <v>176.55017348161601</v>
      </c>
      <c r="K7" s="27">
        <f>'07_损益预算'!K13*1.04</f>
        <v>201.61783074524001</v>
      </c>
      <c r="L7" s="27">
        <f>'07_损益预算'!L13*1.05</f>
        <v>304.791233451658</v>
      </c>
      <c r="M7" s="27">
        <f>'07_损益预算'!M13*1.06</f>
        <v>384.34318989043101</v>
      </c>
      <c r="N7" s="21">
        <f>'07_损益预算'!N13</f>
        <v>1940.7033199277801</v>
      </c>
      <c r="O7" s="21">
        <f>SUM(B7:M7)</f>
        <v>1973.5586285020599</v>
      </c>
      <c r="P7" s="21">
        <f>O7-N7</f>
        <v>32.855308574277601</v>
      </c>
    </row>
    <row r="8" spans="1:16" ht="14.5">
      <c r="A8" s="12" t="s">
        <v>257</v>
      </c>
      <c r="B8" s="28">
        <f t="shared" ref="B8:M8" si="0">IFERROR(B7/B5,0)</f>
        <v>0.10673011167065399</v>
      </c>
      <c r="C8" s="28">
        <f t="shared" si="0"/>
        <v>6.2920587861129598E-2</v>
      </c>
      <c r="D8" s="28">
        <f t="shared" si="0"/>
        <v>0.10673011167065399</v>
      </c>
      <c r="E8" s="28">
        <f t="shared" si="0"/>
        <v>0.124253921194463</v>
      </c>
      <c r="F8" s="29">
        <f t="shared" si="0"/>
        <v>0.135058609993982</v>
      </c>
      <c r="G8" s="29">
        <f t="shared" si="0"/>
        <v>0.151725276660648</v>
      </c>
      <c r="H8" s="29">
        <f t="shared" si="0"/>
        <v>0.151725276660648</v>
      </c>
      <c r="I8" s="29">
        <f t="shared" si="0"/>
        <v>0.151725276660648</v>
      </c>
      <c r="J8" s="29">
        <f t="shared" si="0"/>
        <v>0.16643115901359001</v>
      </c>
      <c r="K8" s="29">
        <f t="shared" si="0"/>
        <v>0.17950305443842601</v>
      </c>
      <c r="L8" s="29">
        <f t="shared" si="0"/>
        <v>0.21990709484246601</v>
      </c>
      <c r="M8" s="29">
        <f t="shared" si="0"/>
        <v>0.241725276660648</v>
      </c>
      <c r="N8" s="23">
        <f>'07_损益预算'!N14</f>
        <v>0.16172527666064801</v>
      </c>
      <c r="O8" s="23">
        <f>IFERROR(O7/O5,0)</f>
        <v>0.160326787913666</v>
      </c>
      <c r="P8" s="23">
        <f>O8-N8</f>
        <v>-1.3984887469828101E-3</v>
      </c>
    </row>
    <row r="9" spans="1:16" ht="16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6.5">
      <c r="A11" s="74" t="s">
        <v>281</v>
      </c>
      <c r="B11" s="74"/>
      <c r="C11" s="74"/>
      <c r="D11" s="74"/>
      <c r="E11" s="74"/>
      <c r="F11" s="7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3">
      <c r="A12" s="4" t="s">
        <v>282</v>
      </c>
      <c r="B12" s="5" t="s">
        <v>283</v>
      </c>
      <c r="C12" s="5" t="s">
        <v>284</v>
      </c>
      <c r="D12" s="5" t="s">
        <v>285</v>
      </c>
      <c r="E12" s="5" t="s">
        <v>286</v>
      </c>
      <c r="F12" s="6" t="s">
        <v>287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6.5">
      <c r="A13" s="10" t="s">
        <v>288</v>
      </c>
      <c r="B13" s="10" t="s">
        <v>289</v>
      </c>
      <c r="C13" s="10" t="s">
        <v>290</v>
      </c>
      <c r="D13" s="10" t="s">
        <v>291</v>
      </c>
      <c r="E13" s="10" t="s">
        <v>292</v>
      </c>
      <c r="F13" s="10" t="s">
        <v>293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6.5">
      <c r="A14" s="12" t="s">
        <v>294</v>
      </c>
      <c r="B14" s="12" t="s">
        <v>295</v>
      </c>
      <c r="C14" s="12" t="s">
        <v>296</v>
      </c>
      <c r="D14" s="12" t="s">
        <v>297</v>
      </c>
      <c r="E14" s="12" t="s">
        <v>298</v>
      </c>
      <c r="F14" s="12" t="s">
        <v>299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6.5">
      <c r="A15" s="12" t="s">
        <v>300</v>
      </c>
      <c r="B15" s="12" t="s">
        <v>301</v>
      </c>
      <c r="C15" s="12" t="s">
        <v>302</v>
      </c>
      <c r="D15" s="12" t="s">
        <v>303</v>
      </c>
      <c r="E15" s="12" t="s">
        <v>304</v>
      </c>
      <c r="F15" s="12" t="s">
        <v>305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7" spans="1:16" ht="8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</sheetData>
  <mergeCells count="3">
    <mergeCell ref="A1:P1"/>
    <mergeCell ref="A2:P2"/>
    <mergeCell ref="A11:F11"/>
  </mergeCells>
  <phoneticPr fontId="20" type="noConversion"/>
  <conditionalFormatting sqref="P5:P8">
    <cfRule type="colorScale" priority="1">
      <colorScale>
        <cfvo type="min"/>
        <cfvo type="percentile" val="50"/>
        <cfvo type="max"/>
        <color rgb="FFFDECEC"/>
        <color rgb="FFFFF4E5"/>
        <color rgb="FFE8F7F0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49"/>
  <sheetViews>
    <sheetView showGridLines="0" workbookViewId="0">
      <selection sqref="A1:P1"/>
    </sheetView>
  </sheetViews>
  <sheetFormatPr defaultColWidth="9" defaultRowHeight="14"/>
  <cols>
    <col min="1" max="1" width="15" customWidth="1"/>
    <col min="2" max="4" width="13" customWidth="1"/>
    <col min="5" max="6" width="12" customWidth="1"/>
    <col min="7" max="7" width="20" customWidth="1"/>
    <col min="8" max="10" width="14" customWidth="1"/>
    <col min="11" max="12" width="12" customWidth="1"/>
    <col min="13" max="14" width="14" customWidth="1"/>
    <col min="15" max="15" width="4" customWidth="1"/>
    <col min="16" max="16" width="12" customWidth="1"/>
  </cols>
  <sheetData>
    <row r="1" spans="1:16" ht="34" customHeight="1">
      <c r="A1" s="65" t="s">
        <v>306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6" customHeight="1">
      <c r="A2" s="66" t="s">
        <v>307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6.5">
      <c r="A4" s="105" t="s">
        <v>197</v>
      </c>
      <c r="B4" s="105"/>
      <c r="C4" s="105"/>
      <c r="D4" s="105"/>
      <c r="E4" s="3"/>
      <c r="F4" s="106" t="s">
        <v>308</v>
      </c>
      <c r="G4" s="106"/>
      <c r="H4" s="106"/>
      <c r="I4" s="106"/>
      <c r="J4" s="3"/>
      <c r="K4" s="107" t="s">
        <v>309</v>
      </c>
      <c r="L4" s="107"/>
      <c r="M4" s="107"/>
      <c r="N4" s="107"/>
      <c r="O4" s="3"/>
      <c r="P4" s="3"/>
    </row>
    <row r="5" spans="1:16" ht="16.5">
      <c r="A5" s="78">
        <f>SUM('02_目标分解'!$G$5:$G$16)</f>
        <v>12000</v>
      </c>
      <c r="B5" s="79"/>
      <c r="C5" s="79"/>
      <c r="D5" s="80"/>
      <c r="E5" s="17"/>
      <c r="F5" s="78">
        <f>SUM('03_销售预算'!$U$5:$U$52)</f>
        <v>12000</v>
      </c>
      <c r="G5" s="79"/>
      <c r="H5" s="79"/>
      <c r="I5" s="80"/>
      <c r="J5" s="3"/>
      <c r="K5" s="87">
        <f>'07_损益预算'!N8</f>
        <v>0.51172527666064804</v>
      </c>
      <c r="L5" s="88"/>
      <c r="M5" s="88"/>
      <c r="N5" s="89"/>
      <c r="O5" s="3"/>
      <c r="P5" s="3"/>
    </row>
    <row r="6" spans="1:16" ht="16.5">
      <c r="A6" s="81"/>
      <c r="B6" s="82"/>
      <c r="C6" s="82"/>
      <c r="D6" s="83"/>
      <c r="E6" s="17"/>
      <c r="F6" s="81"/>
      <c r="G6" s="82"/>
      <c r="H6" s="82"/>
      <c r="I6" s="83"/>
      <c r="J6" s="3"/>
      <c r="K6" s="90"/>
      <c r="L6" s="91"/>
      <c r="M6" s="91"/>
      <c r="N6" s="92"/>
      <c r="O6" s="3"/>
      <c r="P6" s="3"/>
    </row>
    <row r="7" spans="1:16" ht="16.5">
      <c r="A7" s="84"/>
      <c r="B7" s="85"/>
      <c r="C7" s="85"/>
      <c r="D7" s="86"/>
      <c r="E7" s="17"/>
      <c r="F7" s="84"/>
      <c r="G7" s="85"/>
      <c r="H7" s="85"/>
      <c r="I7" s="86"/>
      <c r="J7" s="3"/>
      <c r="K7" s="93"/>
      <c r="L7" s="94"/>
      <c r="M7" s="94"/>
      <c r="N7" s="95"/>
      <c r="O7" s="3"/>
      <c r="P7" s="3"/>
    </row>
    <row r="8" spans="1:16" ht="16.5">
      <c r="A8" s="17"/>
      <c r="B8" s="17"/>
      <c r="C8" s="17"/>
      <c r="D8" s="17"/>
      <c r="E8" s="17"/>
      <c r="F8" s="17"/>
      <c r="G8" s="17"/>
      <c r="H8" s="17"/>
      <c r="I8" s="17"/>
      <c r="J8" s="3"/>
      <c r="K8" s="3"/>
      <c r="L8" s="3"/>
      <c r="M8" s="3"/>
      <c r="N8" s="3"/>
      <c r="O8" s="3"/>
      <c r="P8" s="3"/>
    </row>
    <row r="9" spans="1:16" ht="16.5">
      <c r="A9" s="75" t="s">
        <v>310</v>
      </c>
      <c r="B9" s="75"/>
      <c r="C9" s="75"/>
      <c r="D9" s="75"/>
      <c r="E9" s="17"/>
      <c r="F9" s="76" t="s">
        <v>311</v>
      </c>
      <c r="G9" s="76"/>
      <c r="H9" s="76"/>
      <c r="I9" s="76"/>
      <c r="J9" s="3"/>
      <c r="K9" s="77" t="s">
        <v>312</v>
      </c>
      <c r="L9" s="77"/>
      <c r="M9" s="77"/>
      <c r="N9" s="77"/>
      <c r="O9" s="3"/>
      <c r="P9" s="3"/>
    </row>
    <row r="10" spans="1:16" ht="16.5">
      <c r="A10" s="78">
        <f>'07_损益预算'!N13</f>
        <v>1940.7033199277801</v>
      </c>
      <c r="B10" s="79"/>
      <c r="C10" s="79"/>
      <c r="D10" s="80"/>
      <c r="E10" s="17"/>
      <c r="F10" s="78">
        <f>'08_滚动预测'!O7</f>
        <v>1973.5586285020599</v>
      </c>
      <c r="G10" s="79"/>
      <c r="H10" s="79"/>
      <c r="I10" s="80"/>
      <c r="J10" s="3"/>
      <c r="K10" s="96" t="e">
        <f>#REF!</f>
        <v>#REF!</v>
      </c>
      <c r="L10" s="97"/>
      <c r="M10" s="97"/>
      <c r="N10" s="98"/>
      <c r="O10" s="3"/>
      <c r="P10" s="3"/>
    </row>
    <row r="11" spans="1:16" ht="16.5">
      <c r="A11" s="81"/>
      <c r="B11" s="82"/>
      <c r="C11" s="82"/>
      <c r="D11" s="83"/>
      <c r="E11" s="17"/>
      <c r="F11" s="81"/>
      <c r="G11" s="82"/>
      <c r="H11" s="82"/>
      <c r="I11" s="83"/>
      <c r="J11" s="3"/>
      <c r="K11" s="99"/>
      <c r="L11" s="100"/>
      <c r="M11" s="100"/>
      <c r="N11" s="101"/>
      <c r="O11" s="3"/>
      <c r="P11" s="3"/>
    </row>
    <row r="12" spans="1:16" ht="16.5">
      <c r="A12" s="84"/>
      <c r="B12" s="85"/>
      <c r="C12" s="85"/>
      <c r="D12" s="86"/>
      <c r="E12" s="17"/>
      <c r="F12" s="84"/>
      <c r="G12" s="85"/>
      <c r="H12" s="85"/>
      <c r="I12" s="86"/>
      <c r="J12" s="3"/>
      <c r="K12" s="102"/>
      <c r="L12" s="103"/>
      <c r="M12" s="103"/>
      <c r="N12" s="104"/>
      <c r="O12" s="3"/>
      <c r="P12" s="3"/>
    </row>
    <row r="13" spans="1:1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24" customHeight="1">
      <c r="A15" s="68" t="s">
        <v>313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</row>
    <row r="16" spans="1:1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6.5">
      <c r="A35" s="4" t="s">
        <v>105</v>
      </c>
      <c r="B35" s="5" t="s">
        <v>314</v>
      </c>
      <c r="C35" s="5" t="s">
        <v>315</v>
      </c>
      <c r="D35" s="5" t="s">
        <v>316</v>
      </c>
      <c r="E35" s="6" t="s">
        <v>261</v>
      </c>
      <c r="F35" s="3"/>
      <c r="G35" s="4" t="s">
        <v>194</v>
      </c>
      <c r="H35" s="5" t="s">
        <v>317</v>
      </c>
      <c r="I35" s="5" t="s">
        <v>318</v>
      </c>
      <c r="J35" s="6" t="s">
        <v>319</v>
      </c>
      <c r="K35" s="3"/>
      <c r="L35" s="4" t="s">
        <v>230</v>
      </c>
      <c r="M35" s="5" t="s">
        <v>320</v>
      </c>
      <c r="N35" s="6" t="s">
        <v>321</v>
      </c>
      <c r="O35" s="3"/>
      <c r="P35" s="3"/>
    </row>
    <row r="36" spans="1:16" ht="16.5">
      <c r="A36" s="10" t="s">
        <v>111</v>
      </c>
      <c r="B36" s="18">
        <f>SUMIFS('02_目标分解'!$G$5:$G$16,'02_目标分解'!$B$5:$B$16,A36)</f>
        <v>4080</v>
      </c>
      <c r="C36" s="18">
        <f>SUMIFS('03_销售预算'!$U$5:$U$52,'03_销售预算'!$B$5:$B$52,A36)</f>
        <v>4080</v>
      </c>
      <c r="D36" s="18">
        <f>C36-B36</f>
        <v>0</v>
      </c>
      <c r="E36" s="10" t="str">
        <f>IF(ABS(D36)&lt;1,"达成",IF(D36&gt;0,"超额","缺口"))</f>
        <v>达成</v>
      </c>
      <c r="F36" s="3"/>
      <c r="G36" s="10" t="s">
        <v>83</v>
      </c>
      <c r="H36" s="15">
        <f>SUMIFS('03_销售预算'!$U$5:$U$52,'03_销售预算'!$D$5:$D$52,G36)</f>
        <v>4800</v>
      </c>
      <c r="I36" s="19">
        <f>SUMIFS('03_销售预算'!$T$5:$T$52,'03_销售预算'!$D$5:$D$52,G36)</f>
        <v>42749.713992824902</v>
      </c>
      <c r="J36" s="20">
        <f>H36/SUM($H$36:$H$38)</f>
        <v>0.4</v>
      </c>
      <c r="K36" s="3"/>
      <c r="L36" s="10" t="s">
        <v>130</v>
      </c>
      <c r="M36" s="15">
        <f>'07_损益预算'!B5</f>
        <v>840</v>
      </c>
      <c r="N36" s="15">
        <f>'08_滚动预测'!B5</f>
        <v>789.6</v>
      </c>
      <c r="O36" s="3"/>
      <c r="P36" s="3"/>
    </row>
    <row r="37" spans="1:16" ht="16.5">
      <c r="A37" s="12" t="s">
        <v>116</v>
      </c>
      <c r="B37" s="21">
        <f>SUMIFS('02_目标分解'!$G$5:$G$16,'02_目标分解'!$B$5:$B$16,A37)</f>
        <v>3240</v>
      </c>
      <c r="C37" s="21">
        <f>SUMIFS('03_销售预算'!$U$5:$U$52,'03_销售预算'!$B$5:$B$52,A37)</f>
        <v>3240</v>
      </c>
      <c r="D37" s="21">
        <f>C37-B37</f>
        <v>0</v>
      </c>
      <c r="E37" s="12" t="str">
        <f>IF(ABS(D37)&lt;1,"达成",IF(D37&gt;0,"超额","缺口"))</f>
        <v>达成</v>
      </c>
      <c r="F37" s="3"/>
      <c r="G37" s="12" t="s">
        <v>89</v>
      </c>
      <c r="H37" s="16">
        <f>SUMIFS('03_销售预算'!$U$5:$U$52,'03_销售预算'!$D$5:$D$52,G37)</f>
        <v>4200</v>
      </c>
      <c r="I37" s="22">
        <f>SUMIFS('03_销售预算'!$T$5:$T$52,'03_销售预算'!$D$5:$D$52,G37)</f>
        <v>54049.381164732498</v>
      </c>
      <c r="J37" s="23">
        <f>H37/SUM($H$36:$H$38)</f>
        <v>0.35</v>
      </c>
      <c r="K37" s="3"/>
      <c r="L37" s="12" t="s">
        <v>131</v>
      </c>
      <c r="M37" s="16">
        <f>'07_损益预算'!C5</f>
        <v>720</v>
      </c>
      <c r="N37" s="16">
        <f>'08_滚动预测'!C5</f>
        <v>734.4</v>
      </c>
      <c r="O37" s="3"/>
      <c r="P37" s="3"/>
    </row>
    <row r="38" spans="1:16" ht="16.5">
      <c r="A38" s="12" t="s">
        <v>121</v>
      </c>
      <c r="B38" s="21">
        <f>SUMIFS('02_目标分解'!$G$5:$G$16,'02_目标分解'!$B$5:$B$16,A38)</f>
        <v>2760</v>
      </c>
      <c r="C38" s="21">
        <f>SUMIFS('03_销售预算'!$U$5:$U$52,'03_销售预算'!$B$5:$B$52,A38)</f>
        <v>2760</v>
      </c>
      <c r="D38" s="21">
        <f>C38-B38</f>
        <v>0</v>
      </c>
      <c r="E38" s="12" t="str">
        <f>IF(ABS(D38)&lt;1,"达成",IF(D38&gt;0,"超额","缺口"))</f>
        <v>达成</v>
      </c>
      <c r="F38" s="3"/>
      <c r="G38" s="12" t="s">
        <v>94</v>
      </c>
      <c r="H38" s="16">
        <f>SUMIFS('03_销售预算'!$U$5:$U$52,'03_销售预算'!$D$5:$D$52,G38)</f>
        <v>3000</v>
      </c>
      <c r="I38" s="22">
        <f>SUMIFS('03_销售预算'!$T$5:$T$52,'03_销售预算'!$D$5:$D$52,G38)</f>
        <v>20428.1483507503</v>
      </c>
      <c r="J38" s="23">
        <f>H38/SUM($H$36:$H$38)</f>
        <v>0.25</v>
      </c>
      <c r="K38" s="3"/>
      <c r="L38" s="12" t="s">
        <v>132</v>
      </c>
      <c r="M38" s="16">
        <f>'07_损益预算'!D5</f>
        <v>840</v>
      </c>
      <c r="N38" s="16">
        <f>'08_滚动预测'!D5</f>
        <v>814.8</v>
      </c>
      <c r="O38" s="3"/>
      <c r="P38" s="3"/>
    </row>
    <row r="39" spans="1:16" ht="16.5">
      <c r="A39" s="12" t="s">
        <v>126</v>
      </c>
      <c r="B39" s="21">
        <f>SUMIFS('02_目标分解'!$G$5:$G$16,'02_目标分解'!$B$5:$B$16,A39)</f>
        <v>1920</v>
      </c>
      <c r="C39" s="21">
        <f>SUMIFS('03_销售预算'!$U$5:$U$52,'03_销售预算'!$B$5:$B$52,A39)</f>
        <v>1920</v>
      </c>
      <c r="D39" s="21">
        <f>C39-B39</f>
        <v>0</v>
      </c>
      <c r="E39" s="12" t="str">
        <f>IF(ABS(D39)&lt;1,"达成",IF(D39&gt;0,"超额","缺口"))</f>
        <v>达成</v>
      </c>
      <c r="F39" s="3"/>
      <c r="G39" s="3"/>
      <c r="H39" s="3"/>
      <c r="I39" s="3"/>
      <c r="J39" s="3"/>
      <c r="K39" s="3"/>
      <c r="L39" s="12" t="s">
        <v>133</v>
      </c>
      <c r="M39" s="16">
        <f>'07_损益预算'!E5</f>
        <v>900</v>
      </c>
      <c r="N39" s="16">
        <f>'08_滚动预测'!E5</f>
        <v>945</v>
      </c>
      <c r="O39" s="3"/>
      <c r="P39" s="3"/>
    </row>
    <row r="40" spans="1:1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2" t="s">
        <v>134</v>
      </c>
      <c r="M40" s="16">
        <f>'07_损益预算'!F5</f>
        <v>900</v>
      </c>
      <c r="N40" s="16">
        <f>'08_滚动预测'!F5</f>
        <v>909</v>
      </c>
      <c r="O40" s="3"/>
      <c r="P40" s="3"/>
    </row>
    <row r="41" spans="1:1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2" t="s">
        <v>135</v>
      </c>
      <c r="M41" s="16">
        <f>'07_损益预算'!G5</f>
        <v>960</v>
      </c>
      <c r="N41" s="16">
        <f>'08_滚动预测'!G5</f>
        <v>979.2</v>
      </c>
      <c r="O41" s="3"/>
      <c r="P41" s="3"/>
    </row>
    <row r="42" spans="1:1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2" t="s">
        <v>136</v>
      </c>
      <c r="M42" s="16">
        <f>'07_损益预算'!H5</f>
        <v>960</v>
      </c>
      <c r="N42" s="16">
        <f>'08_滚动预测'!H5</f>
        <v>988.8</v>
      </c>
      <c r="O42" s="3"/>
      <c r="P42" s="3"/>
    </row>
    <row r="43" spans="1:1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2" t="s">
        <v>137</v>
      </c>
      <c r="M43" s="16">
        <f>'07_损益预算'!I5</f>
        <v>960</v>
      </c>
      <c r="N43" s="16">
        <f>'08_滚动预测'!I5</f>
        <v>988.8</v>
      </c>
      <c r="O43" s="3"/>
      <c r="P43" s="3"/>
    </row>
    <row r="44" spans="1:1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2" t="s">
        <v>138</v>
      </c>
      <c r="M44" s="16">
        <f>'07_损益预算'!J5</f>
        <v>1020</v>
      </c>
      <c r="N44" s="16">
        <f>'08_滚动预测'!J5</f>
        <v>1060.8</v>
      </c>
      <c r="O44" s="3"/>
      <c r="P44" s="3"/>
    </row>
    <row r="45" spans="1:1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2" t="s">
        <v>139</v>
      </c>
      <c r="M45" s="16">
        <f>'07_损益预算'!K5</f>
        <v>1080</v>
      </c>
      <c r="N45" s="16">
        <f>'08_滚动预测'!K5</f>
        <v>1123.2</v>
      </c>
      <c r="O45" s="3"/>
      <c r="P45" s="3"/>
    </row>
    <row r="46" spans="1:1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2" t="s">
        <v>140</v>
      </c>
      <c r="M46" s="16">
        <f>'07_损益预算'!L5</f>
        <v>1320</v>
      </c>
      <c r="N46" s="16">
        <f>'08_滚动预测'!L5</f>
        <v>1386</v>
      </c>
      <c r="O46" s="3"/>
      <c r="P46" s="3"/>
    </row>
    <row r="47" spans="1:1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2" t="s">
        <v>141</v>
      </c>
      <c r="M47" s="16">
        <f>'07_损益预算'!M5</f>
        <v>1500</v>
      </c>
      <c r="N47" s="16">
        <f>'08_滚动预测'!M5</f>
        <v>1590</v>
      </c>
      <c r="O47" s="3"/>
      <c r="P47" s="3"/>
    </row>
    <row r="49" spans="1:16" ht="8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5">
    <mergeCell ref="A1:P1"/>
    <mergeCell ref="A2:P2"/>
    <mergeCell ref="A4:D4"/>
    <mergeCell ref="F4:I4"/>
    <mergeCell ref="K4:N4"/>
    <mergeCell ref="A9:D9"/>
    <mergeCell ref="F9:I9"/>
    <mergeCell ref="K9:N9"/>
    <mergeCell ref="A15:P15"/>
    <mergeCell ref="A5:D7"/>
    <mergeCell ref="F5:I7"/>
    <mergeCell ref="K5:N7"/>
    <mergeCell ref="A10:D12"/>
    <mergeCell ref="F10:I12"/>
    <mergeCell ref="K10:N12"/>
  </mergeCells>
  <phoneticPr fontId="20" type="noConversion"/>
  <conditionalFormatting sqref="D36:D39">
    <cfRule type="dataBar" priority="1">
      <dataBar>
        <cfvo type="min"/>
        <cfvo type="max"/>
        <color rgb="FF6D5CE7"/>
      </dataBar>
      <extLst>
        <ext xmlns:x14="http://schemas.microsoft.com/office/spreadsheetml/2009/9/main" uri="{B025F937-C7B1-47D3-B67F-A62EFF666E3E}">
          <x14:id>{FB285FA7-5485-4307-A78F-AD32827704DE}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285FA7-5485-4307-A78F-AD32827704DE}">
            <x14:dataBar negativeBarColorSameAsPositive="1">
              <x14:cfvo type="min"/>
              <x14:cfvo type="max"/>
              <x14:axisColor indexed="65"/>
            </x14:dataBar>
          </x14:cfRule>
          <xm:sqref>D36:D39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1"/>
  <sheetViews>
    <sheetView showGridLines="0" workbookViewId="0">
      <selection sqref="A1:K1"/>
    </sheetView>
  </sheetViews>
  <sheetFormatPr defaultColWidth="9" defaultRowHeight="14"/>
  <cols>
    <col min="1" max="1" width="8" customWidth="1"/>
    <col min="2" max="2" width="22" customWidth="1"/>
    <col min="3" max="5" width="18" customWidth="1"/>
    <col min="6" max="8" width="13" customWidth="1"/>
    <col min="9" max="9" width="22" customWidth="1"/>
    <col min="10" max="10" width="14" customWidth="1"/>
    <col min="11" max="11" width="22" customWidth="1"/>
  </cols>
  <sheetData>
    <row r="1" spans="1:11" ht="34" customHeight="1">
      <c r="A1" s="65" t="s">
        <v>322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26" customHeight="1">
      <c r="A2" s="66" t="s">
        <v>323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6.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6.5">
      <c r="A4" s="4" t="s">
        <v>324</v>
      </c>
      <c r="B4" s="5" t="s">
        <v>325</v>
      </c>
      <c r="C4" s="5" t="s">
        <v>326</v>
      </c>
      <c r="D4" s="5" t="s">
        <v>327</v>
      </c>
      <c r="E4" s="5" t="s">
        <v>328</v>
      </c>
      <c r="F4" s="5" t="s">
        <v>329</v>
      </c>
      <c r="G4" s="5" t="s">
        <v>330</v>
      </c>
      <c r="H4" s="5" t="s">
        <v>261</v>
      </c>
      <c r="I4" s="5" t="s">
        <v>331</v>
      </c>
      <c r="J4" s="5" t="s">
        <v>332</v>
      </c>
      <c r="K4" s="6" t="s">
        <v>333</v>
      </c>
    </row>
    <row r="5" spans="1:11" ht="14.5">
      <c r="A5" s="10">
        <v>1</v>
      </c>
      <c r="B5" s="10" t="s">
        <v>334</v>
      </c>
      <c r="C5" s="10" t="s">
        <v>335</v>
      </c>
      <c r="D5" s="10" t="s">
        <v>336</v>
      </c>
      <c r="E5" s="10" t="s">
        <v>337</v>
      </c>
      <c r="F5" s="11">
        <v>46266</v>
      </c>
      <c r="G5" s="11">
        <v>46268</v>
      </c>
      <c r="H5" s="10" t="s">
        <v>338</v>
      </c>
      <c r="I5" s="10" t="s">
        <v>339</v>
      </c>
      <c r="J5" s="10" t="s">
        <v>340</v>
      </c>
      <c r="K5" s="10" t="s">
        <v>341</v>
      </c>
    </row>
    <row r="6" spans="1:11" ht="14.5">
      <c r="A6" s="12">
        <v>2</v>
      </c>
      <c r="B6" s="12" t="s">
        <v>342</v>
      </c>
      <c r="C6" s="12" t="s">
        <v>343</v>
      </c>
      <c r="D6" s="12" t="s">
        <v>344</v>
      </c>
      <c r="E6" s="12" t="s">
        <v>345</v>
      </c>
      <c r="F6" s="13">
        <v>46269</v>
      </c>
      <c r="G6" s="13">
        <v>46273</v>
      </c>
      <c r="H6" s="12" t="s">
        <v>338</v>
      </c>
      <c r="I6" s="12" t="s">
        <v>346</v>
      </c>
      <c r="J6" s="12" t="s">
        <v>347</v>
      </c>
      <c r="K6" s="12" t="s">
        <v>348</v>
      </c>
    </row>
    <row r="7" spans="1:11" ht="14.5">
      <c r="A7" s="12">
        <v>3</v>
      </c>
      <c r="B7" s="12" t="s">
        <v>349</v>
      </c>
      <c r="C7" s="12" t="s">
        <v>350</v>
      </c>
      <c r="D7" s="12" t="s">
        <v>351</v>
      </c>
      <c r="E7" s="12" t="s">
        <v>343</v>
      </c>
      <c r="F7" s="13">
        <v>46274</v>
      </c>
      <c r="G7" s="13">
        <v>46281</v>
      </c>
      <c r="H7" s="12" t="s">
        <v>352</v>
      </c>
      <c r="I7" s="12" t="s">
        <v>353</v>
      </c>
      <c r="J7" s="12" t="s">
        <v>354</v>
      </c>
      <c r="K7" s="12" t="s">
        <v>355</v>
      </c>
    </row>
    <row r="8" spans="1:11" ht="14.5">
      <c r="A8" s="12">
        <v>4</v>
      </c>
      <c r="B8" s="12" t="s">
        <v>356</v>
      </c>
      <c r="C8" s="12" t="s">
        <v>357</v>
      </c>
      <c r="D8" s="12" t="s">
        <v>358</v>
      </c>
      <c r="E8" s="12" t="s">
        <v>359</v>
      </c>
      <c r="F8" s="13">
        <v>46282</v>
      </c>
      <c r="G8" s="13">
        <v>46285</v>
      </c>
      <c r="H8" s="12" t="s">
        <v>360</v>
      </c>
      <c r="I8" s="12" t="s">
        <v>361</v>
      </c>
      <c r="J8" s="12" t="s">
        <v>362</v>
      </c>
      <c r="K8" s="12" t="s">
        <v>363</v>
      </c>
    </row>
    <row r="9" spans="1:11" ht="14.5">
      <c r="A9" s="12">
        <v>5</v>
      </c>
      <c r="B9" s="12" t="s">
        <v>364</v>
      </c>
      <c r="C9" s="12" t="s">
        <v>365</v>
      </c>
      <c r="D9" s="12" t="s">
        <v>366</v>
      </c>
      <c r="E9" s="12" t="s">
        <v>359</v>
      </c>
      <c r="F9" s="13">
        <v>46286</v>
      </c>
      <c r="G9" s="13">
        <v>46289</v>
      </c>
      <c r="H9" s="12" t="s">
        <v>360</v>
      </c>
      <c r="I9" s="12" t="s">
        <v>367</v>
      </c>
      <c r="J9" s="12" t="s">
        <v>368</v>
      </c>
      <c r="K9" s="12" t="s">
        <v>369</v>
      </c>
    </row>
    <row r="10" spans="1:11" ht="14.5">
      <c r="A10" s="12">
        <v>6</v>
      </c>
      <c r="B10" s="12" t="s">
        <v>370</v>
      </c>
      <c r="C10" s="12" t="s">
        <v>371</v>
      </c>
      <c r="D10" s="12" t="s">
        <v>372</v>
      </c>
      <c r="E10" s="12" t="s">
        <v>343</v>
      </c>
      <c r="F10" s="13">
        <v>46274</v>
      </c>
      <c r="G10" s="13">
        <v>46283</v>
      </c>
      <c r="H10" s="12" t="s">
        <v>352</v>
      </c>
      <c r="I10" s="12" t="s">
        <v>373</v>
      </c>
      <c r="J10" s="12" t="s">
        <v>374</v>
      </c>
      <c r="K10" s="12" t="s">
        <v>375</v>
      </c>
    </row>
    <row r="11" spans="1:11" ht="14.5">
      <c r="A11" s="12">
        <v>7</v>
      </c>
      <c r="B11" s="12" t="s">
        <v>376</v>
      </c>
      <c r="C11" s="12" t="s">
        <v>335</v>
      </c>
      <c r="D11" s="12" t="s">
        <v>336</v>
      </c>
      <c r="E11" s="12" t="s">
        <v>377</v>
      </c>
      <c r="F11" s="13">
        <v>46290</v>
      </c>
      <c r="G11" s="13">
        <v>46295</v>
      </c>
      <c r="H11" s="12" t="s">
        <v>360</v>
      </c>
      <c r="I11" s="12" t="s">
        <v>378</v>
      </c>
      <c r="J11" s="12" t="s">
        <v>379</v>
      </c>
      <c r="K11" s="12" t="s">
        <v>380</v>
      </c>
    </row>
    <row r="12" spans="1:11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4" customHeight="1">
      <c r="A14" s="68" t="s">
        <v>381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</row>
    <row r="15" spans="1:11" ht="33">
      <c r="A15" s="4" t="s">
        <v>382</v>
      </c>
      <c r="B15" s="5" t="s">
        <v>383</v>
      </c>
      <c r="C15" s="5" t="s">
        <v>148</v>
      </c>
      <c r="D15" s="5" t="s">
        <v>384</v>
      </c>
      <c r="E15" s="5" t="s">
        <v>385</v>
      </c>
      <c r="F15" s="5" t="s">
        <v>386</v>
      </c>
      <c r="G15" s="5" t="s">
        <v>259</v>
      </c>
      <c r="H15" s="6" t="s">
        <v>387</v>
      </c>
      <c r="I15" s="3"/>
      <c r="J15" s="3"/>
      <c r="K15" s="3"/>
    </row>
    <row r="16" spans="1:11" ht="16.5">
      <c r="A16" s="10" t="s">
        <v>388</v>
      </c>
      <c r="B16" s="10" t="s">
        <v>389</v>
      </c>
      <c r="C16" s="10" t="s">
        <v>390</v>
      </c>
      <c r="D16" s="15">
        <v>100</v>
      </c>
      <c r="E16" s="15">
        <v>108</v>
      </c>
      <c r="F16" s="15">
        <v>108</v>
      </c>
      <c r="G16" s="10" t="s">
        <v>391</v>
      </c>
      <c r="H16" s="10" t="s">
        <v>392</v>
      </c>
      <c r="I16" s="3"/>
      <c r="J16" s="3"/>
      <c r="K16" s="3"/>
    </row>
    <row r="17" spans="1:11" ht="16.5">
      <c r="A17" s="12" t="s">
        <v>393</v>
      </c>
      <c r="B17" s="12" t="s">
        <v>394</v>
      </c>
      <c r="C17" s="12" t="s">
        <v>395</v>
      </c>
      <c r="D17" s="16">
        <v>80</v>
      </c>
      <c r="E17" s="16">
        <v>85</v>
      </c>
      <c r="F17" s="16">
        <v>85</v>
      </c>
      <c r="G17" s="12" t="s">
        <v>396</v>
      </c>
      <c r="H17" s="12" t="s">
        <v>397</v>
      </c>
      <c r="I17" s="3"/>
      <c r="J17" s="3"/>
      <c r="K17" s="3"/>
    </row>
    <row r="18" spans="1:11" ht="16.5">
      <c r="A18" s="12" t="s">
        <v>398</v>
      </c>
      <c r="B18" s="12" t="s">
        <v>399</v>
      </c>
      <c r="C18" s="12" t="s">
        <v>400</v>
      </c>
      <c r="D18" s="16">
        <v>300</v>
      </c>
      <c r="E18" s="16">
        <v>312</v>
      </c>
      <c r="F18" s="16">
        <v>312</v>
      </c>
      <c r="G18" s="12" t="s">
        <v>391</v>
      </c>
      <c r="H18" s="12" t="s">
        <v>401</v>
      </c>
      <c r="I18" s="3"/>
      <c r="J18" s="3"/>
      <c r="K18" s="3"/>
    </row>
    <row r="19" spans="1:11" ht="16.5">
      <c r="A19" s="12" t="s">
        <v>402</v>
      </c>
      <c r="B19" s="12" t="s">
        <v>403</v>
      </c>
      <c r="C19" s="12" t="s">
        <v>404</v>
      </c>
      <c r="D19" s="16">
        <v>150</v>
      </c>
      <c r="E19" s="16">
        <v>165</v>
      </c>
      <c r="F19" s="16">
        <v>165</v>
      </c>
      <c r="G19" s="12" t="s">
        <v>396</v>
      </c>
      <c r="H19" s="12" t="s">
        <v>405</v>
      </c>
      <c r="I19" s="3"/>
      <c r="J19" s="3"/>
      <c r="K19" s="3"/>
    </row>
    <row r="21" spans="1:11" ht="8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</sheetData>
  <mergeCells count="3">
    <mergeCell ref="A1:K1"/>
    <mergeCell ref="A2:K2"/>
    <mergeCell ref="A14:K14"/>
  </mergeCells>
  <phoneticPr fontId="20" type="noConversion"/>
  <conditionalFormatting sqref="G16:G19">
    <cfRule type="expression" dxfId="4" priority="4">
      <formula>G16="通过"</formula>
    </cfRule>
    <cfRule type="expression" dxfId="3" priority="5">
      <formula>G16="拦截"</formula>
    </cfRule>
  </conditionalFormatting>
  <conditionalFormatting sqref="H5:H11">
    <cfRule type="expression" dxfId="2" priority="1">
      <formula>H5="已完成"</formula>
    </cfRule>
    <cfRule type="expression" dxfId="1" priority="2">
      <formula>H5="进行中"</formula>
    </cfRule>
    <cfRule type="expression" dxfId="0" priority="3">
      <formula>OR(H5="未开始",H5="已退回")</formula>
    </cfRule>
  </conditionalFormatting>
  <dataValidations count="1">
    <dataValidation type="list" sqref="H5:H11" xr:uid="{00000000-0002-0000-0D00-000000000000}">
      <formula1>"未开始,进行中,已完成,已退回"</formula1>
    </dataValidation>
  </dataValidation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showGridLines="0" workbookViewId="0">
      <selection sqref="A1:G1"/>
    </sheetView>
  </sheetViews>
  <sheetFormatPr defaultColWidth="9" defaultRowHeight="14"/>
  <cols>
    <col min="1" max="1" width="16" customWidth="1"/>
    <col min="2" max="2" width="25" customWidth="1"/>
    <col min="3" max="3" width="14" customWidth="1"/>
    <col min="4" max="4" width="30" customWidth="1"/>
    <col min="5" max="5" width="28" customWidth="1"/>
    <col min="6" max="6" width="30" customWidth="1"/>
    <col min="7" max="7" width="22" customWidth="1"/>
  </cols>
  <sheetData>
    <row r="1" spans="1:7" ht="34" customHeight="1">
      <c r="A1" s="65" t="s">
        <v>406</v>
      </c>
      <c r="B1" s="65"/>
      <c r="C1" s="65"/>
      <c r="D1" s="65"/>
      <c r="E1" s="65"/>
      <c r="F1" s="65"/>
      <c r="G1" s="65"/>
    </row>
    <row r="2" spans="1:7" ht="26" customHeight="1">
      <c r="A2" s="66" t="s">
        <v>407</v>
      </c>
      <c r="B2" s="66"/>
      <c r="C2" s="66"/>
      <c r="D2" s="66"/>
      <c r="E2" s="66"/>
      <c r="F2" s="66"/>
      <c r="G2" s="66"/>
    </row>
    <row r="3" spans="1:7" ht="16.5">
      <c r="A3" s="3"/>
      <c r="B3" s="3"/>
      <c r="C3" s="3"/>
      <c r="D3" s="3"/>
      <c r="E3" s="3"/>
      <c r="F3" s="3"/>
      <c r="G3" s="3"/>
    </row>
    <row r="4" spans="1:7" ht="16.5">
      <c r="A4" s="4" t="s">
        <v>408</v>
      </c>
      <c r="B4" s="5" t="s">
        <v>409</v>
      </c>
      <c r="C4" s="5" t="s">
        <v>410</v>
      </c>
      <c r="D4" s="5" t="s">
        <v>263</v>
      </c>
      <c r="E4" s="5" t="s">
        <v>411</v>
      </c>
      <c r="F4" s="5" t="s">
        <v>412</v>
      </c>
      <c r="G4" s="6" t="s">
        <v>413</v>
      </c>
    </row>
    <row r="5" spans="1:7" ht="54" customHeight="1">
      <c r="A5" s="7" t="s">
        <v>414</v>
      </c>
      <c r="B5" s="7" t="s">
        <v>415</v>
      </c>
      <c r="C5" s="7" t="s">
        <v>416</v>
      </c>
      <c r="D5" s="7" t="s">
        <v>417</v>
      </c>
      <c r="E5" s="7" t="s">
        <v>418</v>
      </c>
      <c r="F5" s="7" t="s">
        <v>419</v>
      </c>
      <c r="G5" s="7" t="s">
        <v>420</v>
      </c>
    </row>
    <row r="6" spans="1:7" ht="54" customHeight="1">
      <c r="A6" s="8" t="s">
        <v>421</v>
      </c>
      <c r="B6" s="8" t="s">
        <v>422</v>
      </c>
      <c r="C6" s="8" t="s">
        <v>49</v>
      </c>
      <c r="D6" s="8" t="s">
        <v>423</v>
      </c>
      <c r="E6" s="8" t="s">
        <v>424</v>
      </c>
      <c r="F6" s="8" t="s">
        <v>425</v>
      </c>
      <c r="G6" s="8" t="s">
        <v>426</v>
      </c>
    </row>
    <row r="7" spans="1:7" ht="54" customHeight="1">
      <c r="A7" s="8" t="s">
        <v>315</v>
      </c>
      <c r="B7" s="8" t="s">
        <v>427</v>
      </c>
      <c r="C7" s="8" t="s">
        <v>52</v>
      </c>
      <c r="D7" s="8" t="s">
        <v>428</v>
      </c>
      <c r="E7" s="8" t="s">
        <v>429</v>
      </c>
      <c r="F7" s="8" t="s">
        <v>430</v>
      </c>
      <c r="G7" s="8" t="s">
        <v>431</v>
      </c>
    </row>
    <row r="8" spans="1:7" ht="54" customHeight="1">
      <c r="A8" s="8" t="s">
        <v>432</v>
      </c>
      <c r="B8" s="8" t="s">
        <v>433</v>
      </c>
      <c r="C8" s="8" t="s">
        <v>55</v>
      </c>
      <c r="D8" s="8" t="s">
        <v>434</v>
      </c>
      <c r="E8" s="8" t="s">
        <v>435</v>
      </c>
      <c r="F8" s="8" t="s">
        <v>436</v>
      </c>
      <c r="G8" s="8" t="s">
        <v>437</v>
      </c>
    </row>
    <row r="9" spans="1:7" ht="54" customHeight="1">
      <c r="A9" s="8" t="s">
        <v>438</v>
      </c>
      <c r="B9" s="8" t="s">
        <v>439</v>
      </c>
      <c r="C9" s="8" t="s">
        <v>440</v>
      </c>
      <c r="D9" s="8" t="s">
        <v>441</v>
      </c>
      <c r="E9" s="8" t="s">
        <v>442</v>
      </c>
      <c r="F9" s="8" t="s">
        <v>443</v>
      </c>
      <c r="G9" s="8" t="s">
        <v>444</v>
      </c>
    </row>
    <row r="10" spans="1:7" ht="54" customHeight="1">
      <c r="A10" s="8" t="s">
        <v>445</v>
      </c>
      <c r="B10" s="8" t="s">
        <v>446</v>
      </c>
      <c r="C10" s="8" t="s">
        <v>447</v>
      </c>
      <c r="D10" s="8" t="s">
        <v>448</v>
      </c>
      <c r="E10" s="8" t="s">
        <v>449</v>
      </c>
      <c r="F10" s="8" t="s">
        <v>450</v>
      </c>
      <c r="G10" s="8" t="s">
        <v>451</v>
      </c>
    </row>
    <row r="11" spans="1:7" ht="54" customHeight="1">
      <c r="A11" s="8" t="s">
        <v>452</v>
      </c>
      <c r="B11" s="8" t="s">
        <v>453</v>
      </c>
      <c r="C11" s="8" t="s">
        <v>454</v>
      </c>
      <c r="D11" s="8" t="s">
        <v>455</v>
      </c>
      <c r="E11" s="8" t="s">
        <v>456</v>
      </c>
      <c r="F11" s="8" t="s">
        <v>457</v>
      </c>
      <c r="G11" s="8" t="s">
        <v>458</v>
      </c>
    </row>
    <row r="12" spans="1:7" ht="54" customHeight="1">
      <c r="A12" s="8" t="s">
        <v>279</v>
      </c>
      <c r="B12" s="8" t="s">
        <v>459</v>
      </c>
      <c r="C12" s="8" t="s">
        <v>460</v>
      </c>
      <c r="D12" s="8" t="s">
        <v>461</v>
      </c>
      <c r="E12" s="8" t="s">
        <v>462</v>
      </c>
      <c r="F12" s="8" t="s">
        <v>463</v>
      </c>
      <c r="G12" s="8" t="s">
        <v>279</v>
      </c>
    </row>
    <row r="13" spans="1:7" ht="54" customHeight="1">
      <c r="A13" s="8" t="s">
        <v>464</v>
      </c>
      <c r="B13" s="8" t="s">
        <v>465</v>
      </c>
      <c r="C13" s="8" t="s">
        <v>466</v>
      </c>
      <c r="D13" s="8" t="s">
        <v>467</v>
      </c>
      <c r="E13" s="8" t="s">
        <v>468</v>
      </c>
      <c r="F13" s="8" t="s">
        <v>469</v>
      </c>
      <c r="G13" s="8" t="s">
        <v>470</v>
      </c>
    </row>
    <row r="14" spans="1:7" ht="54" customHeight="1">
      <c r="A14" s="8" t="s">
        <v>471</v>
      </c>
      <c r="B14" s="8" t="s">
        <v>472</v>
      </c>
      <c r="C14" s="8" t="s">
        <v>473</v>
      </c>
      <c r="D14" s="8" t="s">
        <v>474</v>
      </c>
      <c r="E14" s="8" t="s">
        <v>475</v>
      </c>
      <c r="F14" s="8" t="s">
        <v>476</v>
      </c>
      <c r="G14" s="8" t="s">
        <v>477</v>
      </c>
    </row>
    <row r="15" spans="1:7" ht="54" customHeight="1">
      <c r="A15" s="8" t="s">
        <v>478</v>
      </c>
      <c r="B15" s="8" t="s">
        <v>479</v>
      </c>
      <c r="C15" s="8" t="s">
        <v>473</v>
      </c>
      <c r="D15" s="8" t="s">
        <v>480</v>
      </c>
      <c r="E15" s="8" t="s">
        <v>481</v>
      </c>
      <c r="F15" s="8" t="s">
        <v>482</v>
      </c>
      <c r="G15" s="8" t="s">
        <v>478</v>
      </c>
    </row>
    <row r="16" spans="1:7" ht="54" customHeight="1">
      <c r="A16" s="8" t="s">
        <v>483</v>
      </c>
      <c r="B16" s="8" t="s">
        <v>484</v>
      </c>
      <c r="C16" s="8" t="s">
        <v>485</v>
      </c>
      <c r="D16" s="8" t="s">
        <v>486</v>
      </c>
      <c r="E16" s="8" t="s">
        <v>487</v>
      </c>
      <c r="F16" s="8" t="s">
        <v>488</v>
      </c>
      <c r="G16" s="8" t="s">
        <v>489</v>
      </c>
    </row>
    <row r="17" spans="1:7" ht="54" customHeight="1">
      <c r="A17" s="8" t="s">
        <v>490</v>
      </c>
      <c r="B17" s="8" t="s">
        <v>491</v>
      </c>
      <c r="C17" s="8" t="s">
        <v>492</v>
      </c>
      <c r="D17" s="8" t="s">
        <v>493</v>
      </c>
      <c r="E17" s="8" t="s">
        <v>494</v>
      </c>
      <c r="F17" s="8" t="s">
        <v>495</v>
      </c>
      <c r="G17" s="8" t="s">
        <v>496</v>
      </c>
    </row>
    <row r="18" spans="1:7" ht="16.5">
      <c r="A18" s="3"/>
      <c r="B18" s="3"/>
      <c r="C18" s="3"/>
      <c r="D18" s="3"/>
      <c r="E18" s="3"/>
      <c r="F18" s="3"/>
      <c r="G18" s="3"/>
    </row>
    <row r="19" spans="1:7" ht="16.5">
      <c r="A19" s="3"/>
      <c r="B19" s="3"/>
      <c r="C19" s="3"/>
      <c r="D19" s="3"/>
      <c r="E19" s="3"/>
      <c r="F19" s="3"/>
      <c r="G19" s="3"/>
    </row>
    <row r="20" spans="1:7">
      <c r="A20" s="108" t="s">
        <v>497</v>
      </c>
      <c r="B20" s="108"/>
      <c r="C20" s="108"/>
      <c r="D20" s="108"/>
      <c r="E20" s="108"/>
      <c r="F20" s="108"/>
      <c r="G20" s="108"/>
    </row>
    <row r="21" spans="1:7">
      <c r="A21" s="108"/>
      <c r="B21" s="108"/>
      <c r="C21" s="108"/>
      <c r="D21" s="108"/>
      <c r="E21" s="108"/>
      <c r="F21" s="108"/>
      <c r="G21" s="108"/>
    </row>
    <row r="22" spans="1:7">
      <c r="A22" s="108"/>
      <c r="B22" s="108"/>
      <c r="C22" s="108"/>
      <c r="D22" s="108"/>
      <c r="E22" s="108"/>
      <c r="F22" s="108"/>
      <c r="G22" s="108"/>
    </row>
    <row r="24" spans="1:7" ht="8" customHeight="1">
      <c r="A24" s="9"/>
      <c r="B24" s="9"/>
      <c r="C24" s="9"/>
      <c r="D24" s="9"/>
      <c r="E24" s="9"/>
      <c r="F24" s="9"/>
      <c r="G24" s="9"/>
    </row>
  </sheetData>
  <mergeCells count="3">
    <mergeCell ref="A1:G1"/>
    <mergeCell ref="A2:G2"/>
    <mergeCell ref="A20:G22"/>
  </mergeCells>
  <phoneticPr fontId="2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00_演示导航</vt:lpstr>
      <vt:lpstr>01_主数据假设</vt:lpstr>
      <vt:lpstr>02_目标分解</vt:lpstr>
      <vt:lpstr>03_销售预算</vt:lpstr>
      <vt:lpstr>销售回款</vt:lpstr>
      <vt:lpstr>04_BOM生产</vt:lpstr>
      <vt:lpstr>05_采购预算</vt:lpstr>
      <vt:lpstr>06_费用预算</vt:lpstr>
      <vt:lpstr>07_损益预算</vt:lpstr>
      <vt:lpstr>人力预算</vt:lpstr>
      <vt:lpstr>资本性</vt:lpstr>
      <vt:lpstr>08_滚动预测</vt:lpstr>
      <vt:lpstr>09_经营看板</vt:lpstr>
      <vt:lpstr>10_流程控制</vt:lpstr>
      <vt:lpstr>11_能力映射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</dc:creator>
  <cp:lastModifiedBy>123</cp:lastModifiedBy>
  <dcterms:created xsi:type="dcterms:W3CDTF">2026-09-07T05:50:42Z</dcterms:created>
  <dcterms:modified xsi:type="dcterms:W3CDTF">2026-11-02T04:00:13Z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B16DA03BA64D4071A2DE1E48B8A24795_13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